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9" activeTab="7"/>
  </bookViews>
  <sheets>
    <sheet name="BAŞLIK KT" sheetId="1" r:id="rId1"/>
    <sheet name="BAŞLIK ST" sheetId="2" r:id="rId2"/>
    <sheet name="BAŞLIK IY" sheetId="3" r:id="rId3"/>
    <sheet name="V_Ü_2007 2_dönem " sheetId="4" state="hidden" r:id="rId4"/>
    <sheet name="A_Ü_2007 2_dönem" sheetId="5" state="hidden" r:id="rId5"/>
    <sheet name="İNŞAAT SÜRESİ" sheetId="6" state="hidden" r:id="rId6"/>
    <sheet name="SÖZLEŞME" sheetId="7" r:id="rId7"/>
    <sheet name="ASGARİ ÜCRET FORMU" sheetId="8" r:id="rId8"/>
    <sheet name="DENETİM BELGESİ" sheetId="9" r:id="rId9"/>
    <sheet name="DG PROJE MÜELLİFİ" sheetId="10" r:id="rId10"/>
    <sheet name="PROJE MÜELLİFİ" sheetId="11" r:id="rId11"/>
    <sheet name="TUS MÜELLİFİ" sheetId="12" r:id="rId12"/>
    <sheet name="TUS TAAHHÜNAMESİ" sheetId="13" r:id="rId13"/>
    <sheet name="PROJE TAAHHÜTNAMESİ" sheetId="14" r:id="rId14"/>
  </sheets>
  <definedNames>
    <definedName name="Excel_BuiltIn_Print_Area_4">'V_Ü_2007 2_dönem '!$A$5:$R$148</definedName>
    <definedName name="Excel_BuiltIn_Print_Area_5">'A_Ü_2007 2_dönem'!$A$5:$R$139</definedName>
    <definedName name="Excel_BuiltIn_Print_Titles_4">'V_Ü_2007 2_dönem '!$1:$3</definedName>
    <definedName name="Excel_BuiltIn_Print_Titles_5">'A_Ü_2007 2_dönem'!$1:$3</definedName>
  </definedNames>
  <calcPr fullCalcOnLoad="1"/>
</workbook>
</file>

<file path=xl/sharedStrings.xml><?xml version="1.0" encoding="utf-8"?>
<sst xmlns="http://schemas.openxmlformats.org/spreadsheetml/2006/main" count="668" uniqueCount="345">
  <si>
    <t>PROJE SORUMLUSU</t>
  </si>
  <si>
    <t>TUS SORUMLUSU</t>
  </si>
  <si>
    <t>ADI SOYADI</t>
  </si>
  <si>
    <t>ODA No.</t>
  </si>
  <si>
    <t>BÜRO ADI</t>
  </si>
  <si>
    <t xml:space="preserve"> TESCİL NO</t>
  </si>
  <si>
    <t>TESCİL NO</t>
  </si>
  <si>
    <t xml:space="preserve">       MAKİNA  MÜHENDİSLERİ                        ODASI</t>
  </si>
  <si>
    <t xml:space="preserve">VALİLİK / BELEDİYE </t>
  </si>
  <si>
    <t>KALORİFER TESİSAT PROJESİ - Hesaplar</t>
  </si>
  <si>
    <t>ARSANIN ÖZELLİKLERİ</t>
  </si>
  <si>
    <t>BELEDİYE</t>
  </si>
  <si>
    <t>İLÇE</t>
  </si>
  <si>
    <t>MAHALLE</t>
  </si>
  <si>
    <t>SOKAK</t>
  </si>
  <si>
    <t>PAFTA</t>
  </si>
  <si>
    <t>ADA</t>
  </si>
  <si>
    <t>PARSEL</t>
  </si>
  <si>
    <t>PROJE No.</t>
  </si>
  <si>
    <t>YAPININ SAHİBİNİN</t>
  </si>
  <si>
    <t>ÇİZEN</t>
  </si>
  <si>
    <t>Adı Soyadı - Adresi</t>
  </si>
  <si>
    <t>YAPININ ÖZELLİKLERİ</t>
  </si>
  <si>
    <t>YAPININ SİSTEMİ</t>
  </si>
  <si>
    <t>YAPININ  SINIFI</t>
  </si>
  <si>
    <t xml:space="preserve"> BİNA          MALİYETİ             (YTL/m²)</t>
  </si>
  <si>
    <t>TOPLAM BAĞIMSIZ BÖLÜM</t>
  </si>
  <si>
    <t>TOPLAM  KAT SAYISI</t>
  </si>
  <si>
    <t>TOPLAM İNŞAAT ALANI (m²)</t>
  </si>
  <si>
    <t>YAPIM SÜRESİ (Ay)</t>
  </si>
  <si>
    <t>KULLANMA AMACI</t>
  </si>
  <si>
    <t>SIHHİ TESİSAT PROJESİ</t>
  </si>
  <si>
    <t>ISI YALITIM  PROJESİ</t>
  </si>
  <si>
    <t>YAPI</t>
  </si>
  <si>
    <t>3A</t>
  </si>
  <si>
    <t>3B</t>
  </si>
  <si>
    <t>4A</t>
  </si>
  <si>
    <t>4B</t>
  </si>
  <si>
    <t>4C</t>
  </si>
  <si>
    <t>5A</t>
  </si>
  <si>
    <t>5B</t>
  </si>
  <si>
    <t>5C</t>
  </si>
  <si>
    <t>5D</t>
  </si>
  <si>
    <t>ALANI</t>
  </si>
  <si>
    <t xml:space="preserve"> m ²</t>
  </si>
  <si>
    <t>YTL / m²</t>
  </si>
  <si>
    <t>Not: 1. Bölge katsayısı 0,60 olarak alınmıştır.</t>
  </si>
  <si>
    <t xml:space="preserve">       2. Yeni kuruşlar YTL'ye yuvarlanacaktır.</t>
  </si>
  <si>
    <t xml:space="preserve">       3. Mesleki denetim ücretleri proje ve fenni mesuliyet için ayrı olarak alınacaktır.</t>
  </si>
  <si>
    <t xml:space="preserve">       4. Uygulama katsayısı 1,00 olarak alınmıştır..</t>
  </si>
  <si>
    <t xml:space="preserve">       5. Ara değerlerde enterpolasyon yapılır.</t>
  </si>
  <si>
    <t>Bölge katsayısı</t>
  </si>
  <si>
    <t>Hizmet Bölümü oranı</t>
  </si>
  <si>
    <t>Uygulama katsayısı</t>
  </si>
  <si>
    <t>Hizmet dalı oranı</t>
  </si>
  <si>
    <t>Proje Vize Harcı ;</t>
  </si>
  <si>
    <t>TUS Vize Harcı ;</t>
  </si>
  <si>
    <t>İlk uygulama için</t>
  </si>
  <si>
    <t>İkinci  Uygulama için</t>
  </si>
  <si>
    <t>Ücüncü Uygulama için</t>
  </si>
  <si>
    <t>Dördüncü  ve sonrası uygulamalar için</t>
  </si>
  <si>
    <t>dir</t>
  </si>
  <si>
    <t>Dördüncü  Uygulama için</t>
  </si>
  <si>
    <t>Beşinci  ve sonrası uygulamalar için</t>
  </si>
  <si>
    <t>dİr</t>
  </si>
  <si>
    <t>Asansör Avan Proje Vize Harcı ;</t>
  </si>
  <si>
    <t xml:space="preserve">Asansör Avan Vize Harcı </t>
  </si>
  <si>
    <t>Asgari Vize Harcı</t>
  </si>
  <si>
    <t>m² karşılığı.</t>
  </si>
  <si>
    <t>Ücüncü ve sonrası uygulamalar için</t>
  </si>
  <si>
    <t xml:space="preserve">Asansör Avan Proje Ücreti </t>
  </si>
  <si>
    <t>Asgari İnşaat Alanı</t>
  </si>
  <si>
    <t>m²</t>
  </si>
  <si>
    <t>Proje Hizmetleri Asgari Ücretleri ;</t>
  </si>
  <si>
    <t>TUS Hizmetleri Asgari Ücretleri ;</t>
  </si>
  <si>
    <t>Teknik Uygulama Sorumluluğu hizmetinde ilk uygulamada saptanan asgari ücret, sonraki uygulamalarda da aynen alınır.</t>
  </si>
  <si>
    <t>YAPI ALANI (m²)</t>
  </si>
  <si>
    <t>0-100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</si>
  <si>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</si>
  <si>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</si>
  <si>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</si>
  <si>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</si>
  <si>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</si>
  <si>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</si>
  <si>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</si>
  <si>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</si>
  <si>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901-1000</t>
  </si>
  <si>
    <t>Kat Adedi</t>
  </si>
  <si>
    <t>1 Kat İnşaat Alanı (m²)</t>
  </si>
  <si>
    <t>Stün</t>
  </si>
  <si>
    <t>max</t>
  </si>
  <si>
    <t>Kat yüksekliği</t>
  </si>
  <si>
    <t>İnşaat süresi (Ay) 12 kattan az ise</t>
  </si>
  <si>
    <t>İnşaat süresi (Ay) 12 kattan yukarı ise</t>
  </si>
  <si>
    <t>TMMOB MAKİNA MÜHENDİSLERİ ODASI EDİRNE  ŞUBESİ</t>
  </si>
  <si>
    <t>VİZE No</t>
  </si>
  <si>
    <t>PROJE VE MESLEKİ KONTROLLÜK HİZMETLERİ SÖZLEŞMESİ</t>
  </si>
  <si>
    <t>MADDE 1 : TARAFLAR</t>
  </si>
  <si>
    <t>A)  PROJE MÜELLİFİ / TESCİLLİ BÜRO</t>
  </si>
  <si>
    <t xml:space="preserve">B)  İŞVEREN / MAL SAHİBİ </t>
  </si>
  <si>
    <t>Adı Soyadı</t>
  </si>
  <si>
    <t>:</t>
  </si>
  <si>
    <t>Oda sicil No</t>
  </si>
  <si>
    <t xml:space="preserve">Adresi </t>
  </si>
  <si>
    <t>Büro Adı</t>
  </si>
  <si>
    <t>Büro tescil</t>
  </si>
  <si>
    <t>Vergi Da.ve Sic No:</t>
  </si>
  <si>
    <t>Telefon</t>
  </si>
  <si>
    <t>Arasında işbu sözleşmede yazılı şartlarda yapılmış olup , taraflar MÜHENDİS ve İŞVEREN adları ile anılmıştır.</t>
  </si>
  <si>
    <t>MADDE 2 : SÖZLEŞME KONUSU</t>
  </si>
  <si>
    <t>İLİ</t>
  </si>
  <si>
    <t>İLÇESİ</t>
  </si>
  <si>
    <t>MAHALLESİ</t>
  </si>
  <si>
    <t>CADDE/SOK.</t>
  </si>
  <si>
    <t>PAFTA No</t>
  </si>
  <si>
    <t>ADA No</t>
  </si>
  <si>
    <t>PARSEL No</t>
  </si>
  <si>
    <t xml:space="preserve">     Yukarıda tanımlanan arsada yapılacak yapının, tesisat pojelerinin hazırlanması,MMO Edirne Şubesi'ne vize etirilmesi, </t>
  </si>
  <si>
    <t>belediyece onaylanması ve Mesleki Kontrolluk Hizmetlerini kapsar.</t>
  </si>
  <si>
    <t xml:space="preserve">MADDE 3 : YAPININ ÖZELLİKLERİ </t>
  </si>
  <si>
    <t>CİNSİ</t>
  </si>
  <si>
    <t>BAĞIMSIZ BÖLÜM ADEDİ</t>
  </si>
  <si>
    <t>KAT ADEDİ</t>
  </si>
  <si>
    <t>TOPL.İNŞ.ALANI (m²)</t>
  </si>
  <si>
    <t>TESİSATIN CİNSİ</t>
  </si>
  <si>
    <t>KEŞİF BEDELİ</t>
  </si>
  <si>
    <t>AZAMİ BİTİRME SÜRESİ</t>
  </si>
  <si>
    <t>MADDE 4 : ÜCRET</t>
  </si>
  <si>
    <t xml:space="preserve">   İşveren,mühendis Proje ve Mesleki Kontolluk hizmetleri için toplam olarak</t>
  </si>
  <si>
    <t xml:space="preserve">ödeyecektir. Bu ücretin tutarı </t>
  </si>
  <si>
    <t>olan</t>
  </si>
  <si>
    <t>peşin ödenmiştir.Geriye kalan tutarı olan</t>
  </si>
  <si>
    <t>sı ise</t>
  </si>
  <si>
    <t xml:space="preserve">aylık bonayla </t>
  </si>
  <si>
    <t xml:space="preserve">ödenecektir.İşveren ücretin peşin kısmını ve bonoyu sözleşmenin imzalanması sırasında mühendise verecektir. </t>
  </si>
  <si>
    <t>MADDE 5 : MÜHENDİSİN GÖREV HAK VE SORUMLULUKLARI.</t>
  </si>
  <si>
    <t xml:space="preserve">   Projeler ''Makine Mühendisliği Hizmetleri Proje Asgari Standartları'' ve konu ile ilgili yönetmelik koşullarına uygun olacaktır. </t>
  </si>
  <si>
    <t xml:space="preserve">MADDE 6 : </t>
  </si>
  <si>
    <t xml:space="preserve">     Bu sözleşme ile hazırlanacak bütün projelerin ve eklerinin sahibi, tesisat yapılsın veya yapılmasın '' Fikir ve Sanat Eserleri</t>
  </si>
  <si>
    <t xml:space="preserve">Yasası'' hükümüne göre, mühendisindir. Bunların asılları mühendiste kalır. İşveren,''Fikir ve Sanat Eserleri Yasası'' ' dan dolayı  </t>
  </si>
  <si>
    <t>mühendisin sahip olduğu haklara tamamen uyacağını bildirir. Bu haklara tamamen uymamak bu sözleşmeye de uymamaktır.</t>
  </si>
  <si>
    <t>MADDE 7 : SÖZLEŞMENİN FESHİ</t>
  </si>
  <si>
    <t xml:space="preserve">   İşin tamamında veya bir kısımında vazgeçilmesi veya belirsiz bir zaman ertelenmesi veya bu sözleşmenin hükümlerine aykırı  </t>
  </si>
  <si>
    <t xml:space="preserve">işler ve işlemler yapılması hallerinde karşı taraf bu davranışlarda bulunan tarafa 15 (Onbeş) gün süreli ve noter aracılığı ile bildirimde </t>
  </si>
  <si>
    <t xml:space="preserve">bulunur.Bu süre içersinde bildirimde ileri sürülen hususlar düzeltilmez ve yerine getirilmezse feshi hakkı doğar.Taraflar arasında </t>
  </si>
  <si>
    <t>çıkacak anlaşmazlıklar, taraflardan birinin başvurusuyla Makina Mühendisleri Odası Edirne Şubesi'nce çözümlenir.Çözümlenemeyen</t>
  </si>
  <si>
    <t>durumlarda, mühendisin ikamet ettiği mahallin iş mahkemeleri yetkilidir.</t>
  </si>
  <si>
    <t>MADDE 8 : KANUNİ İKAMETGAH</t>
  </si>
  <si>
    <t xml:space="preserve">   Mühendisin ve işverenin 1. Maddedeki adresleri kanuni ikametgahlardır. Bu adreste yapılacak her türlü bildirinin kendilerine  </t>
  </si>
  <si>
    <t>yapılmış sayılacağını şimdiden kabul etmişlerdir.</t>
  </si>
  <si>
    <t>MADDE 9 : SÖZLEŞMENİN DOĞAL EK'LERİ</t>
  </si>
  <si>
    <t>a)</t>
  </si>
  <si>
    <t>3194 sayılı İmar Yasası,</t>
  </si>
  <si>
    <t>b)</t>
  </si>
  <si>
    <t>5846 sayılı Fikir ve Sanat Eserleri Yasası</t>
  </si>
  <si>
    <t>c)</t>
  </si>
  <si>
    <t>3458 sayılı Mühendislik ve Mimarlık Hakkında Yasa,</t>
  </si>
  <si>
    <t>d)</t>
  </si>
  <si>
    <t xml:space="preserve">Yakıt tüketiminde ekonmi sağlanması ve şehirlerde ısıtma tesislerinin sebep olduğu hava kirliğinin azaltılmasına </t>
  </si>
  <si>
    <t>dair yönetmelik,</t>
  </si>
  <si>
    <t>e)</t>
  </si>
  <si>
    <t>MAKİNA MÜHENDİSLERİ ODASI Tesisat Mühendisliği Hizmet Esasları ve konu ile ilgili yönetmelik ve yayınlar.</t>
  </si>
  <si>
    <t>MADDE 10 : ÖZEL ŞARTLAR</t>
  </si>
  <si>
    <t xml:space="preserve">Bu sözleşme </t>
  </si>
  <si>
    <t xml:space="preserve">tarihinde mühendis   </t>
  </si>
  <si>
    <t>ile işveren</t>
  </si>
  <si>
    <t>arasında imzalanmış olup -3- (Üç) nüsha olarak düzenlenmiştir.</t>
  </si>
  <si>
    <t>İŞVEREN</t>
  </si>
  <si>
    <t>T.M.M.O.B.</t>
  </si>
  <si>
    <t>MAK.MÜH.</t>
  </si>
  <si>
    <t>MAKİNE MÜHENDİSLERİ ODASI</t>
  </si>
  <si>
    <t>EDİRNE ŞUBESİ</t>
  </si>
  <si>
    <t>TMMOB
MAKİNA MÜHENDİSLERİ ODASI
EDİRNE ŞUBESİ</t>
  </si>
  <si>
    <t>MEKANİK TESİSAT MÜHENDİSLİK HİZMETLERİ
ASGARİ ÜCRET HESAP FORMU</t>
  </si>
  <si>
    <t>* ÜYE TARAFINDAN DOLDURULACAKTIR.</t>
  </si>
  <si>
    <t xml:space="preserve">Mükellef SMM Büronun Adı      </t>
  </si>
  <si>
    <t>Projenin Sahibi</t>
  </si>
  <si>
    <t>Vergi Dairesi</t>
  </si>
  <si>
    <t>Pafta</t>
  </si>
  <si>
    <t>Vergi Sicil Numarası</t>
  </si>
  <si>
    <t>Ada</t>
  </si>
  <si>
    <t>Adresi</t>
  </si>
  <si>
    <t>Parsel</t>
  </si>
  <si>
    <t>Telefon / Faks / e-posta</t>
  </si>
  <si>
    <t>Mimar</t>
  </si>
  <si>
    <t>ASGARİ ÜCRET UYGULAMA ESASLARI :</t>
  </si>
  <si>
    <t>Toplam İnşaat Alanını Mimari Proje Üzerinden Hesapladım.</t>
  </si>
  <si>
    <t>SMM</t>
  </si>
  <si>
    <t>Yapı Alanı: Bina veya Tesislerin oturma veya kullanma alanı ile kat adedinin çarpımından bulunan alan ile</t>
  </si>
  <si>
    <t>İmza / Kaşe</t>
  </si>
  <si>
    <t>mühendislik hizmeti gerektiren açık veya kapalı çıkma alanları toplamıdır.  (SMMH ve Asgari Ücret Yönetmeliği Made 6a-1)</t>
  </si>
  <si>
    <t>Blok Adedi</t>
  </si>
  <si>
    <t xml:space="preserve">Mimari projeden Hesaplanan Blok Yapı Alanı (m²) </t>
  </si>
  <si>
    <t>Bütün Blokların Toplam İnşaat  Alanı  (m²)</t>
  </si>
  <si>
    <t>Yapı Maliyeti Sınıfı</t>
  </si>
  <si>
    <t>Proje Yapı Sınıf Oranı</t>
  </si>
  <si>
    <t>Vize Yapı Sınıf Oranı</t>
  </si>
  <si>
    <t>Yapı Alanı
( m² )</t>
  </si>
  <si>
    <t>Yapı Birim Maliyeti
(YTL / m²)</t>
  </si>
  <si>
    <t>Yapı Sınıf Oranı</t>
  </si>
  <si>
    <t>Hizmet dalı Oranı</t>
  </si>
  <si>
    <t>Hizmet Bölüm Oranı</t>
  </si>
  <si>
    <t>Bölge Katsayısı</t>
  </si>
  <si>
    <t>Uygulama Katsayısı</t>
  </si>
  <si>
    <t>Asgari Ücret
( YTL )</t>
  </si>
  <si>
    <t>Mekanik Tesisat Projesi</t>
  </si>
  <si>
    <t>TUS</t>
  </si>
  <si>
    <t xml:space="preserve">Asansör Avan Projesi </t>
  </si>
  <si>
    <t>uygulama</t>
  </si>
  <si>
    <t>Uygulamalar</t>
  </si>
  <si>
    <t>Uygulama Oranı</t>
  </si>
  <si>
    <t>Mekanik  Tesisat Projesi</t>
  </si>
  <si>
    <t>Asansör Avan Projesi</t>
  </si>
  <si>
    <t>1.Uygulama</t>
  </si>
  <si>
    <t>2.Uygulama</t>
  </si>
  <si>
    <t>3.Uygulama</t>
  </si>
  <si>
    <t>4.Uygulama ve üzeri</t>
  </si>
  <si>
    <t>Toplam     =</t>
  </si>
  <si>
    <t>Toplam   =</t>
  </si>
  <si>
    <t>Mekanik Tesisat Proje Uygulamaları Toplamı     =</t>
  </si>
  <si>
    <t>TUS Toplamı  =</t>
  </si>
  <si>
    <t>Asansör Avan Proje Uygulamaları Toplamı         =</t>
  </si>
  <si>
    <t>KDV Hariç Toplam Yekün =</t>
  </si>
  <si>
    <t>KDV</t>
  </si>
  <si>
    <t>Genel Toplam =</t>
  </si>
  <si>
    <t>* VİZE GÖREVLİSİ TARAFINDAN DOLDURULACAKTIR.</t>
  </si>
  <si>
    <t>Fatura No</t>
  </si>
  <si>
    <t>Vize No</t>
  </si>
  <si>
    <t>Vize Tarihi</t>
  </si>
  <si>
    <t>Yapı Birim Maliyeti                (YTL / m²)</t>
  </si>
  <si>
    <t>Vize Harcı     (YTL)</t>
  </si>
  <si>
    <t>Mekanik Tesisat Proje Vize Harcı</t>
  </si>
  <si>
    <t>TUS Vize Harcı</t>
  </si>
  <si>
    <t>Asansör Avan Proje Vize Harcı</t>
  </si>
  <si>
    <t xml:space="preserve">1.Uygulama </t>
  </si>
  <si>
    <t xml:space="preserve">2.Uygulama </t>
  </si>
  <si>
    <t xml:space="preserve">3.Uygulama </t>
  </si>
  <si>
    <t>Toplam Proje Vize Harcı</t>
  </si>
  <si>
    <t>Toplam  TUS Vize Harcı</t>
  </si>
  <si>
    <t>As.Av.Proje Vize Harcı</t>
  </si>
  <si>
    <t>Teknik Görevli</t>
  </si>
  <si>
    <t>Genel Toplam Vize Harcı</t>
  </si>
  <si>
    <t>tmmob</t>
  </si>
  <si>
    <t xml:space="preserve">Belge Tarihi         </t>
  </si>
  <si>
    <t xml:space="preserve">Belge No            </t>
  </si>
  <si>
    <t>makina mühendisleri odası</t>
  </si>
  <si>
    <t xml:space="preserve">Oda Makbuz No   </t>
  </si>
  <si>
    <t>edirne şubesi</t>
  </si>
  <si>
    <t xml:space="preserve"> </t>
  </si>
  <si>
    <t>Kocasinan Mah. Dr. Sadık AHMET Cad. No: 60 / 1 - 2 - EDİRNE</t>
  </si>
  <si>
    <r>
      <t>Tel:0.284.236 08 00 (3 Hat)        Faks:0.284.236 08 03</t>
    </r>
    <r>
      <rPr>
        <sz val="9"/>
        <rFont val="Arial"/>
        <family val="2"/>
      </rPr>
      <t xml:space="preserve"> </t>
    </r>
  </si>
  <si>
    <r>
      <t>e-posta:</t>
    </r>
    <r>
      <rPr>
        <u val="single"/>
        <sz val="9"/>
        <rFont val="Arial"/>
        <family val="2"/>
      </rPr>
      <t xml:space="preserve"> edirne @mmo.org.tr</t>
    </r>
    <r>
      <rPr>
        <sz val="9"/>
        <rFont val="Arial"/>
        <family val="2"/>
      </rPr>
      <t xml:space="preserve"> http://www.mmo.org.tr/edirne</t>
    </r>
  </si>
  <si>
    <t>MEKANİK TESİSAT PROJE MÜELLİFİ</t>
  </si>
  <si>
    <t xml:space="preserve"> DENETİM BELGESİ</t>
  </si>
  <si>
    <t>PROJE MÜELLİFİ :</t>
  </si>
  <si>
    <t>MÜHENDİSİN ADI SOYADI</t>
  </si>
  <si>
    <t>ODA SİCİL NO ve BAĞLI OLDUĞU ŞUBE</t>
  </si>
  <si>
    <t>SMM BÜRO ADI</t>
  </si>
  <si>
    <t>SMM BÜRO TESCİL NO</t>
  </si>
  <si>
    <t>SMM BÜRO ADRESİ</t>
  </si>
  <si>
    <t>SMM BÜRO TELEFONU</t>
  </si>
  <si>
    <t>YAPI / ARSA :</t>
  </si>
  <si>
    <t>SAHİBİ</t>
  </si>
  <si>
    <t>İŞİN ADI</t>
  </si>
  <si>
    <t>ADRES - TELEFON</t>
  </si>
  <si>
    <t>VERGİ D. VE NO</t>
  </si>
  <si>
    <t>İL</t>
  </si>
  <si>
    <t>ÜNİTE SAYISI</t>
  </si>
  <si>
    <t>KULLANIM AMACI</t>
  </si>
  <si>
    <t>KAT SAYISI</t>
  </si>
  <si>
    <t>BELDE</t>
  </si>
  <si>
    <t xml:space="preserve">CADDE </t>
  </si>
  <si>
    <t>YAPI SINIFI / GRUBU</t>
  </si>
  <si>
    <t>TOPLAM (m²)</t>
  </si>
  <si>
    <t>ISITMA SİSTEMİ</t>
  </si>
  <si>
    <t>YAKIT CİNSİ</t>
  </si>
  <si>
    <t>Katı yakıt</t>
  </si>
  <si>
    <t>PROJE TÜRÜ</t>
  </si>
  <si>
    <t>YAPIDA YER ALAN TESİSATLAR</t>
  </si>
  <si>
    <t>YAPI KONUSU</t>
  </si>
  <si>
    <t>22 Kasım 2001 tarih ve 24591 sayılı Resmi Gazete'de yayımlanan TMMOB MMO Serbest Müşavirlik ve Mühendislik Büroları Tescil ve Mesleki Denetim</t>
  </si>
  <si>
    <t>Yönetmeliği’ne uygun koşulları taşıyan SMM ve SMM bürosunun yukarıda tanımları yapılmış yapının Mekanik Tesisat Proje Hizmetlerini üstlenmiş makine</t>
  </si>
  <si>
    <t>mühendisi, Odamız üyesi olup söz konusu SMM hizmetini vermeye bu belgenin onaylandığı tarihte yetkilidir. Bu Belge; Odamıza sunulan proje ve eklerine</t>
  </si>
  <si>
    <t>uygun olarak düzenlenmiştir. Üzerinde kazıntı silinti, düzeltme yapılan, hologramsız ve ıslak imza bulunmayan belgeler geçersizdir.</t>
  </si>
  <si>
    <t>Bu belge, 30.01.2007 tarih ve 26419 sayılı Resmi Gazete'de yayımlanan YAPI RUHSATI VE YAPI KULLANMA İZİN BELGESİ KULLANILMASINA İLİŞKİN</t>
  </si>
  <si>
    <t>MECBURİ STANDART TEBLİĞİ gereğince, Yapı Ruhsatı ve  Yapı Kullanma İzin Belgesi düzenlenirken esas alınacaktır.</t>
  </si>
  <si>
    <t>BELGENİN DÜZENLEDİĞİ ODA BİRİMİ</t>
  </si>
  <si>
    <t>BELGEYİ DÜZENLEYEN ODA GÖREVLİSİNİN</t>
  </si>
  <si>
    <t>Oda Sicil No</t>
  </si>
  <si>
    <t>Kaşe / İmza</t>
  </si>
  <si>
    <t>Ek : 1</t>
  </si>
  <si>
    <t>DOĞALGAZ TESİSATI PROJE MÜELLİFİ</t>
  </si>
  <si>
    <t>SİCİL DURUM BELGESİ</t>
  </si>
  <si>
    <t xml:space="preserve">ADRES </t>
  </si>
  <si>
    <t>TELEFON</t>
  </si>
  <si>
    <t>BLOK ADEDİ</t>
  </si>
  <si>
    <t>BLOK KAT SAYISI</t>
  </si>
  <si>
    <t>TOPLAM DAİRE SAYISI</t>
  </si>
  <si>
    <t>İŞYERİ SAYISI</t>
  </si>
  <si>
    <t>DOĞALGAZ BAĞLANAN KAPI NUMARALARI</t>
  </si>
  <si>
    <t>KAZAN DAİRESİ</t>
  </si>
  <si>
    <t>TOPLAM KAPASİTE</t>
  </si>
  <si>
    <t>SERVİS KUTU BASINCI</t>
  </si>
  <si>
    <t>KULLANIM BASINCI</t>
  </si>
  <si>
    <t>DOĞALGAZ PROJESİ</t>
  </si>
  <si>
    <t>SAYAÇ TİPİ  / ADETİ</t>
  </si>
  <si>
    <t>KULANIM AMACI</t>
  </si>
  <si>
    <t>Bu bege, 30.01.2007 tarih ve 26419 sayılı Resmi Gazete'de yayımlanan YAPI RUHSATI VE YAPI KULLANMA İZİN BELGESİ KULLANILMASINA İLİŞKİN</t>
  </si>
  <si>
    <t>Ek : 2</t>
  </si>
  <si>
    <t>MEKANİK TESİSAT HİZMETLERİ TEKNİK UYGULAMA SORUMLUSU</t>
  </si>
  <si>
    <t>FENNİ MESUL(TUS)</t>
  </si>
  <si>
    <t>TUS'UNU ÜSTLENDİĞİ TOPLAM ALAN</t>
  </si>
  <si>
    <t xml:space="preserve">Yönetmeliği’ne uygun koşulları taşıyan SMM ve SMM bürosunun yukarıda tanımları yapılmış yapının Mekanik Tesisat Proje Hizmetleri Teknik Uygulama </t>
  </si>
  <si>
    <t xml:space="preserve">Sorumluluğunu üstlenmiş Makine mühendisi, Odamız üyesi olup söz konusu SMM hizmetini vermeye bu belgenin onaylandığı tarihte yetkilidir. Bu Belge; </t>
  </si>
  <si>
    <t xml:space="preserve">Odamıza sunulan proje ve eklerine uygun olarak düzenlenmiştir. Üzerinde kazıntı silinti, düzeltme yapılan, hologramsız ve ıslak imza bulunmayan belgeler </t>
  </si>
  <si>
    <t>Geçersizdir.</t>
  </si>
  <si>
    <t>TUS TAAHHÜTNAMESİ</t>
  </si>
  <si>
    <t xml:space="preserve">            İli, </t>
  </si>
  <si>
    <t>İlçesi ,</t>
  </si>
  <si>
    <t xml:space="preserve">Mahallesi </t>
  </si>
  <si>
    <t>Sokak</t>
  </si>
  <si>
    <t>na ait tapunun Pafta</t>
  </si>
  <si>
    <t>, Ada</t>
  </si>
  <si>
    <t>, Parsel</t>
  </si>
  <si>
    <t>,</t>
  </si>
  <si>
    <t>sayılı yerde yapılacak olan inşaatla ilgili, 3194 sayılı imar kanunu'nun 28, 32, 38, 42, maddelerine ,</t>
  </si>
  <si>
    <t>mühendislik ve mimarlık hakındaki 3458 sayılı kanuna, 6235, 7303 sayılı T.M.M.O.B. Kanununa, 2936</t>
  </si>
  <si>
    <t>sayılı ve değiştirilen 7303 sayılı fikir ve sanat eserleri kanununa, hatalı çizilmiş, tasdik edilmiş belgelere</t>
  </si>
  <si>
    <t>göre uygulama yapmayacağıma ve hatalı olarak yapılmış imalatları en geç 3 (Üç) iş günü içersinde</t>
  </si>
  <si>
    <t xml:space="preserve"> Belediyesi İmar İşleri Müdürlüğüne bildireceğimi taahhüt ederim.</t>
  </si>
  <si>
    <t>Teknik Uygulama Sorumluluğum (TUS)</t>
  </si>
  <si>
    <t>tarihinde sona erecektir.</t>
  </si>
  <si>
    <t>TUS Müellifinin</t>
  </si>
  <si>
    <t>Makina Mühendisleri Odası</t>
  </si>
  <si>
    <t>Adı - SOYADI</t>
  </si>
  <si>
    <t>Edirne Şubesi</t>
  </si>
  <si>
    <t>MMO Sicil No</t>
  </si>
  <si>
    <t>Bağlı Olduğu MMO Birimi</t>
  </si>
  <si>
    <t>PROJE TAAHHÜTNAMESİ</t>
  </si>
  <si>
    <t xml:space="preserve">           İli, </t>
  </si>
  <si>
    <t>sayılı, ilgili Belediyenin sorumluluğunu içeren alanda kalan proje, tekniğine göre yürürlükte olan plan,</t>
  </si>
  <si>
    <t>mevzuat, kanun ve yönetmeliklere uygun olarak dizayn edilmiştir. Bundan dolayı her türlü kanuni sorumluluklar</t>
  </si>
  <si>
    <t>tarafıma aittir. Hazırladığım projelerin tüm hataları ile kanuni ve hukuki doğabilecek her türlü sorumluluğu</t>
  </si>
  <si>
    <t>kabul ve beyan ederim.</t>
  </si>
  <si>
    <t>Proje Müellifinin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</si>
</sst>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@\:"/>
    <numFmt numFmtId="166" formatCode="#,##0.00&quot; YTL&quot;"/>
    <numFmt numFmtId="167" formatCode="#,##0&quot; Ay&quot;"/>
    <numFmt numFmtId="168" formatCode="#,##0.00&quot; TL&quot;"/>
    <numFmt numFmtId="169" formatCode="#,##0&quot; TL&quot;"/>
    <numFmt numFmtId="170" formatCode="dd/mm/yyyy"/>
    <numFmt numFmtId="171" formatCode="0.0000000000"/>
    <numFmt numFmtId="172" formatCode="%\ 0"/>
    <numFmt numFmtId="173" formatCode="0.00000%"/>
  </numFmts>
  <fonts count="40">
    <font>
      <sz val="10"/>
      <name val="Arial"/>
      <family val="2"/>
    </font>
    <font>
      <sz val="10"/>
      <name val="Arial Tur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Tur"/>
      <family val="2"/>
    </font>
    <font>
      <sz val="28"/>
      <name val="Vineta BT"/>
      <family val="5"/>
    </font>
    <font>
      <sz val="16"/>
      <name val="Vineta BT"/>
      <family val="5"/>
    </font>
    <font>
      <sz val="11"/>
      <name val="Arial Tur"/>
      <family val="2"/>
    </font>
    <font>
      <b/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Arial Tur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Tur"/>
      <family val="2"/>
    </font>
    <font>
      <i/>
      <u val="single"/>
      <sz val="10"/>
      <name val="Arial"/>
      <family val="2"/>
    </font>
    <font>
      <b/>
      <sz val="18"/>
      <name val="Arial Tur"/>
      <family val="2"/>
    </font>
    <font>
      <b/>
      <sz val="11"/>
      <name val="Arial Tur"/>
      <family val="2"/>
    </font>
    <font>
      <sz val="6"/>
      <name val="Arial"/>
      <family val="2"/>
    </font>
    <font>
      <u val="single"/>
      <sz val="9"/>
      <name val="Arial"/>
      <family val="2"/>
    </font>
    <font>
      <b/>
      <sz val="16"/>
      <name val="Arial Tur"/>
      <family val="2"/>
    </font>
    <font>
      <b/>
      <sz val="14"/>
      <name val="Arial Tur"/>
      <family val="2"/>
    </font>
    <font>
      <sz val="14"/>
      <name val="Arial Tur"/>
      <family val="2"/>
    </font>
    <font>
      <sz val="12"/>
      <name val="Arial Tur"/>
      <family val="2"/>
    </font>
    <font>
      <sz val="9.5"/>
      <name val="Arial Tur"/>
      <family val="2"/>
    </font>
    <font>
      <sz val="9"/>
      <name val="Arial Tur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0" fillId="0" borderId="1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3" fontId="14" fillId="0" borderId="16" xfId="0" applyNumberFormat="1" applyFont="1" applyBorder="1" applyAlignment="1">
      <alignment/>
    </xf>
    <xf numFmtId="2" fontId="14" fillId="0" borderId="1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5" fillId="0" borderId="0" xfId="18" applyFont="1" applyBorder="1" applyAlignment="1">
      <alignment/>
      <protection/>
    </xf>
    <xf numFmtId="2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5" fontId="14" fillId="0" borderId="0" xfId="0" applyNumberFormat="1" applyFont="1" applyBorder="1" applyAlignment="1">
      <alignment/>
    </xf>
    <xf numFmtId="166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9" fontId="0" fillId="0" borderId="0" xfId="22" applyFont="1" applyFill="1" applyBorder="1" applyAlignment="1" applyProtection="1">
      <alignment/>
      <protection/>
    </xf>
    <xf numFmtId="9" fontId="0" fillId="0" borderId="0" xfId="22" applyFont="1" applyFill="1" applyBorder="1" applyAlignment="1" applyProtection="1">
      <alignment/>
      <protection locked="0"/>
    </xf>
    <xf numFmtId="0" fontId="16" fillId="0" borderId="0" xfId="18" applyFont="1" applyBorder="1" applyAlignment="1">
      <alignment/>
      <protection/>
    </xf>
    <xf numFmtId="3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6" fillId="0" borderId="0" xfId="18" applyFont="1">
      <alignment/>
      <protection/>
    </xf>
    <xf numFmtId="0" fontId="16" fillId="0" borderId="0" xfId="18" applyFont="1" applyAlignment="1">
      <alignment horizontal="center"/>
      <protection/>
    </xf>
    <xf numFmtId="3" fontId="0" fillId="0" borderId="0" xfId="0" applyNumberFormat="1" applyFont="1" applyAlignment="1">
      <alignment/>
    </xf>
    <xf numFmtId="2" fontId="1" fillId="0" borderId="0" xfId="19" applyNumberFormat="1" applyFont="1">
      <alignment/>
      <protection/>
    </xf>
    <xf numFmtId="0" fontId="1" fillId="0" borderId="0" xfId="19" applyFont="1">
      <alignment/>
      <protection/>
    </xf>
    <xf numFmtId="1" fontId="1" fillId="0" borderId="0" xfId="19" applyNumberFormat="1" applyFont="1">
      <alignment/>
      <protection/>
    </xf>
    <xf numFmtId="3" fontId="1" fillId="0" borderId="0" xfId="19" applyNumberFormat="1" applyFont="1">
      <alignment/>
      <protection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1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  <xf numFmtId="167" fontId="17" fillId="0" borderId="16" xfId="0" applyNumberFormat="1" applyFont="1" applyBorder="1" applyAlignment="1">
      <alignment horizontal="center" vertical="center"/>
    </xf>
    <xf numFmtId="167" fontId="17" fillId="0" borderId="18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167" fontId="17" fillId="0" borderId="15" xfId="0" applyNumberFormat="1" applyFont="1" applyBorder="1" applyAlignment="1">
      <alignment horizontal="center" vertical="center"/>
    </xf>
    <xf numFmtId="167" fontId="17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17" fillId="0" borderId="17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right" vertical="center"/>
    </xf>
    <xf numFmtId="167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1" fillId="0" borderId="0" xfId="0" applyFont="1" applyAlignment="1">
      <alignment/>
    </xf>
    <xf numFmtId="0" fontId="12" fillId="0" borderId="0" xfId="0" applyFont="1" applyAlignment="1">
      <alignment horizontal="justify"/>
    </xf>
    <xf numFmtId="165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  <xf numFmtId="1" fontId="0" fillId="0" borderId="22" xfId="0" applyNumberFormat="1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" fontId="0" fillId="0" borderId="23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NumberFormat="1" applyFont="1" applyBorder="1" applyAlignment="1">
      <alignment shrinkToFit="1"/>
    </xf>
    <xf numFmtId="165" fontId="0" fillId="0" borderId="0" xfId="0" applyNumberFormat="1" applyFont="1" applyBorder="1" applyAlignment="1">
      <alignment shrinkToFit="1"/>
    </xf>
    <xf numFmtId="0" fontId="0" fillId="0" borderId="22" xfId="0" applyNumberFormat="1" applyFont="1" applyBorder="1" applyAlignment="1" applyProtection="1">
      <alignment shrinkToFit="1"/>
      <protection locked="0"/>
    </xf>
    <xf numFmtId="0" fontId="0" fillId="0" borderId="22" xfId="0" applyFont="1" applyBorder="1" applyAlignment="1" applyProtection="1">
      <alignment/>
      <protection locked="0"/>
    </xf>
    <xf numFmtId="165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Font="1" applyBorder="1" applyAlignment="1" applyProtection="1">
      <alignment horizontal="right"/>
      <protection locked="0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right" shrinkToFi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10" fontId="1" fillId="0" borderId="16" xfId="0" applyNumberFormat="1" applyFont="1" applyBorder="1" applyAlignment="1">
      <alignment horizontal="center" vertical="center"/>
    </xf>
    <xf numFmtId="10" fontId="1" fillId="0" borderId="25" xfId="0" applyNumberFormat="1" applyFont="1" applyBorder="1" applyAlignment="1">
      <alignment horizontal="left" vertical="center"/>
    </xf>
    <xf numFmtId="10" fontId="1" fillId="0" borderId="26" xfId="0" applyNumberFormat="1" applyFont="1" applyBorder="1" applyAlignment="1">
      <alignment vertical="center"/>
    </xf>
    <xf numFmtId="171" fontId="1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1" fontId="1" fillId="0" borderId="0" xfId="0" applyNumberFormat="1" applyFont="1" applyAlignment="1">
      <alignment/>
    </xf>
    <xf numFmtId="10" fontId="1" fillId="0" borderId="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166" fontId="1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23" fillId="0" borderId="22" xfId="0" applyNumberFormat="1" applyFont="1" applyBorder="1" applyAlignment="1">
      <alignment vertical="center" wrapText="1"/>
    </xf>
    <xf numFmtId="0" fontId="23" fillId="0" borderId="17" xfId="0" applyNumberFormat="1" applyFont="1" applyBorder="1" applyAlignment="1">
      <alignment vertical="center" wrapText="1"/>
    </xf>
    <xf numFmtId="0" fontId="23" fillId="0" borderId="22" xfId="0" applyNumberFormat="1" applyFont="1" applyBorder="1" applyAlignment="1" applyProtection="1">
      <alignment vertical="center" wrapText="1"/>
      <protection locked="0"/>
    </xf>
    <xf numFmtId="0" fontId="23" fillId="0" borderId="17" xfId="0" applyFont="1" applyBorder="1" applyAlignment="1" applyProtection="1">
      <alignment vertical="center"/>
      <protection locked="0"/>
    </xf>
    <xf numFmtId="3" fontId="23" fillId="0" borderId="14" xfId="0" applyNumberFormat="1" applyFont="1" applyBorder="1" applyAlignment="1" applyProtection="1">
      <alignment horizontal="right" vertical="center"/>
      <protection locked="0"/>
    </xf>
    <xf numFmtId="3" fontId="23" fillId="0" borderId="27" xfId="0" applyNumberFormat="1" applyFont="1" applyBorder="1" applyAlignment="1" applyProtection="1">
      <alignment horizontal="right" vertical="center"/>
      <protection locked="0"/>
    </xf>
    <xf numFmtId="0" fontId="23" fillId="0" borderId="26" xfId="0" applyFont="1" applyBorder="1" applyAlignment="1" applyProtection="1">
      <alignment vertical="center"/>
      <protection locked="0"/>
    </xf>
    <xf numFmtId="0" fontId="23" fillId="0" borderId="27" xfId="0" applyNumberFormat="1" applyFont="1" applyBorder="1" applyAlignment="1" applyProtection="1">
      <alignment horizontal="right" vertical="center"/>
      <protection locked="0"/>
    </xf>
    <xf numFmtId="0" fontId="1" fillId="0" borderId="26" xfId="0" applyFont="1" applyBorder="1" applyAlignment="1">
      <alignment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172" fontId="1" fillId="0" borderId="16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/>
    </xf>
    <xf numFmtId="172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/>
    </xf>
    <xf numFmtId="172" fontId="1" fillId="0" borderId="12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66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66" fontId="1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65" fontId="26" fillId="0" borderId="0" xfId="0" applyNumberFormat="1" applyFont="1" applyAlignment="1">
      <alignment/>
    </xf>
    <xf numFmtId="0" fontId="17" fillId="0" borderId="2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/>
    </xf>
    <xf numFmtId="0" fontId="26" fillId="0" borderId="0" xfId="0" applyNumberFormat="1" applyFont="1" applyAlignment="1">
      <alignment horizontal="center"/>
    </xf>
    <xf numFmtId="0" fontId="17" fillId="0" borderId="22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4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73" fontId="1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vertical="center"/>
    </xf>
    <xf numFmtId="165" fontId="26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27" fillId="0" borderId="15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72" fontId="1" fillId="0" borderId="14" xfId="0" applyNumberFormat="1" applyFont="1" applyBorder="1" applyAlignment="1">
      <alignment horizontal="left"/>
    </xf>
    <xf numFmtId="166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166" fontId="1" fillId="0" borderId="15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72" fontId="1" fillId="0" borderId="0" xfId="0" applyNumberFormat="1" applyFont="1" applyBorder="1" applyAlignment="1">
      <alignment horizontal="left"/>
    </xf>
    <xf numFmtId="165" fontId="26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66" fontId="26" fillId="0" borderId="22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172" fontId="27" fillId="0" borderId="0" xfId="0" applyNumberFormat="1" applyFont="1" applyBorder="1" applyAlignment="1">
      <alignment horizontal="left"/>
    </xf>
    <xf numFmtId="166" fontId="25" fillId="0" borderId="23" xfId="0" applyNumberFormat="1" applyFont="1" applyBorder="1" applyAlignment="1">
      <alignment/>
    </xf>
    <xf numFmtId="166" fontId="25" fillId="0" borderId="0" xfId="0" applyNumberFormat="1" applyFont="1" applyBorder="1" applyAlignment="1">
      <alignment/>
    </xf>
    <xf numFmtId="165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0" fontId="1" fillId="0" borderId="0" xfId="17">
      <alignment/>
      <protection/>
    </xf>
    <xf numFmtId="0" fontId="1" fillId="0" borderId="28" xfId="17" applyBorder="1">
      <alignment/>
      <protection/>
    </xf>
    <xf numFmtId="0" fontId="1" fillId="0" borderId="29" xfId="17" applyBorder="1">
      <alignment/>
      <protection/>
    </xf>
    <xf numFmtId="0" fontId="1" fillId="0" borderId="30" xfId="17" applyBorder="1">
      <alignment/>
      <protection/>
    </xf>
    <xf numFmtId="0" fontId="1" fillId="0" borderId="31" xfId="17" applyBorder="1">
      <alignment/>
      <protection/>
    </xf>
    <xf numFmtId="0" fontId="1" fillId="0" borderId="32" xfId="17" applyBorder="1">
      <alignment/>
      <protection/>
    </xf>
    <xf numFmtId="0" fontId="1" fillId="0" borderId="7" xfId="17" applyBorder="1">
      <alignment/>
      <protection/>
    </xf>
    <xf numFmtId="0" fontId="1" fillId="0" borderId="33" xfId="17" applyBorder="1">
      <alignment/>
      <protection/>
    </xf>
    <xf numFmtId="0" fontId="1" fillId="0" borderId="34" xfId="17" applyBorder="1">
      <alignment/>
      <protection/>
    </xf>
    <xf numFmtId="0" fontId="1" fillId="0" borderId="35" xfId="17" applyBorder="1">
      <alignment/>
      <protection/>
    </xf>
    <xf numFmtId="0" fontId="1" fillId="0" borderId="0" xfId="17" applyBorder="1">
      <alignment/>
      <protection/>
    </xf>
    <xf numFmtId="0" fontId="23" fillId="0" borderId="0" xfId="17" applyFont="1" applyBorder="1">
      <alignment/>
      <protection/>
    </xf>
    <xf numFmtId="0" fontId="1" fillId="0" borderId="36" xfId="17" applyBorder="1">
      <alignment/>
      <protection/>
    </xf>
    <xf numFmtId="0" fontId="30" fillId="0" borderId="0" xfId="17" applyFont="1" applyBorder="1" applyAlignment="1">
      <alignment/>
      <protection/>
    </xf>
    <xf numFmtId="0" fontId="23" fillId="0" borderId="0" xfId="17" applyFont="1" applyBorder="1" applyAlignment="1">
      <alignment/>
      <protection/>
    </xf>
    <xf numFmtId="165" fontId="1" fillId="0" borderId="0" xfId="17" applyNumberFormat="1" applyFont="1" applyBorder="1" applyAlignment="1">
      <alignment/>
      <protection/>
    </xf>
    <xf numFmtId="0" fontId="1" fillId="0" borderId="0" xfId="17" applyBorder="1" applyAlignment="1">
      <alignment/>
      <protection/>
    </xf>
    <xf numFmtId="0" fontId="14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31" fillId="0" borderId="0" xfId="0" applyFont="1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20" fillId="0" borderId="0" xfId="0" applyFont="1" applyBorder="1" applyAlignment="1">
      <alignment/>
    </xf>
    <xf numFmtId="0" fontId="33" fillId="0" borderId="0" xfId="17" applyFont="1" applyBorder="1" applyAlignment="1">
      <alignment horizontal="center"/>
      <protection/>
    </xf>
    <xf numFmtId="0" fontId="34" fillId="0" borderId="0" xfId="17" applyFont="1" applyBorder="1" applyAlignment="1">
      <alignment horizontal="left"/>
      <protection/>
    </xf>
    <xf numFmtId="0" fontId="1" fillId="0" borderId="37" xfId="17" applyBorder="1">
      <alignment/>
      <protection/>
    </xf>
    <xf numFmtId="0" fontId="1" fillId="0" borderId="38" xfId="17" applyBorder="1">
      <alignment/>
      <protection/>
    </xf>
    <xf numFmtId="0" fontId="1" fillId="0" borderId="39" xfId="17" applyBorder="1">
      <alignment/>
      <protection/>
    </xf>
    <xf numFmtId="0" fontId="1" fillId="0" borderId="0" xfId="17" applyAlignment="1">
      <alignment vertical="center"/>
      <protection/>
    </xf>
    <xf numFmtId="0" fontId="1" fillId="0" borderId="31" xfId="17" applyBorder="1" applyAlignment="1">
      <alignment vertical="center"/>
      <protection/>
    </xf>
    <xf numFmtId="0" fontId="1" fillId="0" borderId="35" xfId="17" applyBorder="1" applyAlignment="1">
      <alignment vertical="center"/>
      <protection/>
    </xf>
    <xf numFmtId="0" fontId="34" fillId="0" borderId="40" xfId="17" applyFont="1" applyBorder="1" applyAlignment="1">
      <alignment horizontal="left" vertical="center"/>
      <protection/>
    </xf>
    <xf numFmtId="0" fontId="34" fillId="0" borderId="20" xfId="17" applyFont="1" applyBorder="1" applyAlignment="1">
      <alignment horizontal="left" vertical="center"/>
      <protection/>
    </xf>
    <xf numFmtId="0" fontId="30" fillId="0" borderId="20" xfId="17" applyFont="1" applyBorder="1" applyAlignment="1">
      <alignment horizontal="left" vertical="center"/>
      <protection/>
    </xf>
    <xf numFmtId="0" fontId="30" fillId="0" borderId="41" xfId="17" applyFont="1" applyBorder="1" applyAlignment="1">
      <alignment horizontal="left" vertical="center"/>
      <protection/>
    </xf>
    <xf numFmtId="0" fontId="1" fillId="0" borderId="36" xfId="17" applyBorder="1" applyAlignment="1">
      <alignment vertical="center"/>
      <protection/>
    </xf>
    <xf numFmtId="0" fontId="1" fillId="0" borderId="34" xfId="17" applyBorder="1" applyAlignment="1">
      <alignment vertical="center"/>
      <protection/>
    </xf>
    <xf numFmtId="0" fontId="30" fillId="0" borderId="42" xfId="17" applyFont="1" applyBorder="1" applyAlignment="1">
      <alignment horizontal="left" vertical="center"/>
      <protection/>
    </xf>
    <xf numFmtId="0" fontId="30" fillId="0" borderId="43" xfId="17" applyFont="1" applyBorder="1" applyAlignment="1">
      <alignment horizontal="left" vertical="center"/>
      <protection/>
    </xf>
    <xf numFmtId="0" fontId="30" fillId="0" borderId="44" xfId="17" applyFont="1" applyBorder="1" applyAlignment="1">
      <alignment horizontal="left" vertical="center"/>
      <protection/>
    </xf>
    <xf numFmtId="0" fontId="1" fillId="0" borderId="42" xfId="17" applyBorder="1" applyAlignment="1">
      <alignment horizontal="left" vertical="center"/>
      <protection/>
    </xf>
    <xf numFmtId="0" fontId="1" fillId="0" borderId="43" xfId="17" applyBorder="1" applyAlignment="1">
      <alignment horizontal="left" vertical="center"/>
      <protection/>
    </xf>
    <xf numFmtId="0" fontId="1" fillId="0" borderId="43" xfId="17" applyFont="1" applyBorder="1" applyAlignment="1">
      <alignment vertical="center"/>
      <protection/>
    </xf>
    <xf numFmtId="0" fontId="1" fillId="0" borderId="43" xfId="17" applyBorder="1" applyAlignment="1">
      <alignment vertical="center"/>
      <protection/>
    </xf>
    <xf numFmtId="0" fontId="1" fillId="0" borderId="44" xfId="17" applyBorder="1" applyAlignment="1">
      <alignment vertical="center"/>
      <protection/>
    </xf>
    <xf numFmtId="0" fontId="1" fillId="0" borderId="0" xfId="17" applyBorder="1" applyAlignment="1">
      <alignment horizontal="left"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Border="1" applyAlignment="1">
      <alignment vertical="center"/>
      <protection/>
    </xf>
    <xf numFmtId="0" fontId="1" fillId="0" borderId="37" xfId="17" applyBorder="1" applyAlignment="1">
      <alignment horizontal="left" vertical="center"/>
      <protection/>
    </xf>
    <xf numFmtId="0" fontId="1" fillId="0" borderId="38" xfId="17" applyBorder="1" applyAlignment="1">
      <alignment horizontal="left" vertical="center"/>
      <protection/>
    </xf>
    <xf numFmtId="0" fontId="1" fillId="0" borderId="38" xfId="17" applyFont="1" applyBorder="1" applyAlignment="1">
      <alignment vertical="center"/>
      <protection/>
    </xf>
    <xf numFmtId="0" fontId="1" fillId="0" borderId="38" xfId="17" applyBorder="1" applyAlignment="1">
      <alignment vertical="center"/>
      <protection/>
    </xf>
    <xf numFmtId="0" fontId="1" fillId="0" borderId="39" xfId="17" applyBorder="1" applyAlignment="1">
      <alignment vertical="center"/>
      <protection/>
    </xf>
    <xf numFmtId="0" fontId="35" fillId="0" borderId="0" xfId="17" applyFont="1">
      <alignment/>
      <protection/>
    </xf>
    <xf numFmtId="0" fontId="35" fillId="0" borderId="31" xfId="17" applyFont="1" applyBorder="1">
      <alignment/>
      <protection/>
    </xf>
    <xf numFmtId="0" fontId="35" fillId="0" borderId="35" xfId="17" applyFont="1" applyBorder="1">
      <alignment/>
      <protection/>
    </xf>
    <xf numFmtId="0" fontId="34" fillId="0" borderId="41" xfId="17" applyFont="1" applyBorder="1" applyAlignment="1">
      <alignment horizontal="left" vertical="center"/>
      <protection/>
    </xf>
    <xf numFmtId="0" fontId="35" fillId="0" borderId="36" xfId="17" applyFont="1" applyBorder="1">
      <alignment/>
      <protection/>
    </xf>
    <xf numFmtId="0" fontId="35" fillId="0" borderId="34" xfId="17" applyFont="1" applyBorder="1">
      <alignment/>
      <protection/>
    </xf>
    <xf numFmtId="0" fontId="36" fillId="0" borderId="0" xfId="17" applyFont="1">
      <alignment/>
      <protection/>
    </xf>
    <xf numFmtId="0" fontId="36" fillId="0" borderId="31" xfId="17" applyFont="1" applyBorder="1">
      <alignment/>
      <protection/>
    </xf>
    <xf numFmtId="0" fontId="36" fillId="0" borderId="35" xfId="17" applyFont="1" applyBorder="1">
      <alignment/>
      <protection/>
    </xf>
    <xf numFmtId="0" fontId="36" fillId="0" borderId="36" xfId="17" applyFont="1" applyBorder="1">
      <alignment/>
      <protection/>
    </xf>
    <xf numFmtId="0" fontId="36" fillId="0" borderId="34" xfId="17" applyFont="1" applyBorder="1">
      <alignment/>
      <protection/>
    </xf>
    <xf numFmtId="0" fontId="1" fillId="0" borderId="42" xfId="17" applyFont="1" applyBorder="1" applyAlignment="1">
      <alignment horizontal="left" vertical="center"/>
      <protection/>
    </xf>
    <xf numFmtId="0" fontId="1" fillId="0" borderId="43" xfId="17" applyFont="1" applyBorder="1" applyAlignment="1">
      <alignment horizontal="left" vertical="center"/>
      <protection/>
    </xf>
    <xf numFmtId="0" fontId="1" fillId="0" borderId="44" xfId="17" applyBorder="1" applyAlignment="1">
      <alignment horizontal="left" vertical="center"/>
      <protection/>
    </xf>
    <xf numFmtId="0" fontId="1" fillId="0" borderId="43" xfId="17" applyBorder="1" applyAlignment="1">
      <alignment horizontal="left" vertical="center" wrapText="1"/>
      <protection/>
    </xf>
    <xf numFmtId="0" fontId="1" fillId="0" borderId="43" xfId="17" applyBorder="1" applyAlignment="1">
      <alignment vertical="center" wrapText="1"/>
      <protection/>
    </xf>
    <xf numFmtId="0" fontId="1" fillId="0" borderId="44" xfId="17" applyBorder="1" applyAlignment="1">
      <alignment vertical="center" wrapText="1"/>
      <protection/>
    </xf>
    <xf numFmtId="0" fontId="37" fillId="0" borderId="0" xfId="17" applyFont="1">
      <alignment/>
      <protection/>
    </xf>
    <xf numFmtId="0" fontId="37" fillId="0" borderId="31" xfId="17" applyFont="1" applyBorder="1">
      <alignment/>
      <protection/>
    </xf>
    <xf numFmtId="0" fontId="37" fillId="0" borderId="35" xfId="17" applyFont="1" applyBorder="1">
      <alignment/>
      <protection/>
    </xf>
    <xf numFmtId="0" fontId="1" fillId="0" borderId="0" xfId="17" applyFont="1" applyBorder="1">
      <alignment/>
      <protection/>
    </xf>
    <xf numFmtId="0" fontId="37" fillId="0" borderId="0" xfId="17" applyFont="1" applyBorder="1">
      <alignment/>
      <protection/>
    </xf>
    <xf numFmtId="0" fontId="37" fillId="0" borderId="36" xfId="17" applyFont="1" applyBorder="1">
      <alignment/>
      <protection/>
    </xf>
    <xf numFmtId="0" fontId="37" fillId="0" borderId="34" xfId="17" applyFont="1" applyBorder="1">
      <alignment/>
      <protection/>
    </xf>
    <xf numFmtId="0" fontId="38" fillId="0" borderId="0" xfId="17" applyFont="1" applyBorder="1">
      <alignment/>
      <protection/>
    </xf>
    <xf numFmtId="165" fontId="1" fillId="0" borderId="0" xfId="17" applyNumberFormat="1" applyFont="1" applyBorder="1" applyAlignment="1">
      <alignment horizontal="center"/>
      <protection/>
    </xf>
    <xf numFmtId="0" fontId="1" fillId="0" borderId="0" xfId="17" applyNumberFormat="1" applyFont="1" applyBorder="1" applyAlignment="1">
      <alignment horizontal="center"/>
      <protection/>
    </xf>
    <xf numFmtId="0" fontId="1" fillId="0" borderId="0" xfId="17" applyNumberFormat="1" applyFont="1" applyBorder="1" applyAlignment="1">
      <alignment/>
      <protection/>
    </xf>
    <xf numFmtId="0" fontId="1" fillId="0" borderId="19" xfId="17" applyBorder="1">
      <alignment/>
      <protection/>
    </xf>
    <xf numFmtId="0" fontId="1" fillId="0" borderId="20" xfId="17" applyBorder="1">
      <alignment/>
      <protection/>
    </xf>
    <xf numFmtId="0" fontId="1" fillId="0" borderId="21" xfId="17" applyBorder="1">
      <alignment/>
      <protection/>
    </xf>
    <xf numFmtId="0" fontId="1" fillId="0" borderId="42" xfId="17" applyBorder="1">
      <alignment/>
      <protection/>
    </xf>
    <xf numFmtId="0" fontId="1" fillId="0" borderId="43" xfId="17" applyBorder="1">
      <alignment/>
      <protection/>
    </xf>
    <xf numFmtId="0" fontId="1" fillId="0" borderId="44" xfId="17" applyBorder="1">
      <alignment/>
      <protection/>
    </xf>
    <xf numFmtId="0" fontId="6" fillId="0" borderId="0" xfId="17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1" fillId="0" borderId="20" xfId="17" applyBorder="1" applyAlignment="1">
      <alignment vertical="center" wrapText="1"/>
      <protection/>
    </xf>
    <xf numFmtId="0" fontId="1" fillId="0" borderId="41" xfId="17" applyBorder="1" applyAlignment="1">
      <alignment vertical="center" wrapText="1"/>
      <protection/>
    </xf>
    <xf numFmtId="0" fontId="22" fillId="0" borderId="0" xfId="0" applyFont="1" applyAlignment="1">
      <alignment horizontal="left"/>
    </xf>
    <xf numFmtId="0" fontId="2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 applyProtection="1">
      <alignment horizontal="left"/>
      <protection locked="0"/>
    </xf>
    <xf numFmtId="166" fontId="14" fillId="0" borderId="0" xfId="0" applyNumberFormat="1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3" fillId="0" borderId="47" xfId="0" applyFont="1" applyBorder="1" applyAlignment="1" applyProtection="1">
      <alignment horizontal="center" vertical="center" wrapText="1"/>
      <protection locked="0"/>
    </xf>
    <xf numFmtId="1" fontId="3" fillId="0" borderId="47" xfId="0" applyNumberFormat="1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  <protection locked="0"/>
    </xf>
    <xf numFmtId="167" fontId="3" fillId="0" borderId="47" xfId="0" applyNumberFormat="1" applyFont="1" applyBorder="1" applyAlignment="1" applyProtection="1">
      <alignment horizontal="center" vertical="center" wrapText="1"/>
      <protection locked="0"/>
    </xf>
    <xf numFmtId="168" fontId="4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left" vertical="center"/>
      <protection locked="0"/>
    </xf>
    <xf numFmtId="0" fontId="1" fillId="0" borderId="1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23" fillId="0" borderId="23" xfId="0" applyNumberFormat="1" applyFont="1" applyBorder="1" applyAlignment="1">
      <alignment horizontal="right"/>
    </xf>
    <xf numFmtId="166" fontId="1" fillId="0" borderId="22" xfId="0" applyNumberFormat="1" applyFont="1" applyBorder="1" applyAlignment="1">
      <alignment/>
    </xf>
    <xf numFmtId="0" fontId="1" fillId="0" borderId="16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center"/>
    </xf>
    <xf numFmtId="166" fontId="0" fillId="0" borderId="16" xfId="0" applyNumberFormat="1" applyBorder="1" applyAlignment="1">
      <alignment horizontal="right"/>
    </xf>
    <xf numFmtId="165" fontId="26" fillId="0" borderId="18" xfId="0" applyNumberFormat="1" applyFont="1" applyBorder="1" applyAlignment="1">
      <alignment horizontal="center"/>
    </xf>
    <xf numFmtId="165" fontId="26" fillId="0" borderId="17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right"/>
    </xf>
    <xf numFmtId="165" fontId="26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0" fontId="29" fillId="0" borderId="0" xfId="17" applyFont="1" applyBorder="1" applyAlignment="1">
      <alignment/>
      <protection/>
    </xf>
    <xf numFmtId="165" fontId="1" fillId="0" borderId="0" xfId="17" applyNumberFormat="1" applyFont="1" applyBorder="1" applyAlignment="1">
      <alignment horizontal="left" indent="2"/>
      <protection/>
    </xf>
    <xf numFmtId="0" fontId="29" fillId="0" borderId="0" xfId="17" applyFont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29" fillId="0" borderId="0" xfId="17" applyFont="1" applyBorder="1" applyAlignment="1">
      <alignment horizontal="center"/>
      <protection/>
    </xf>
    <xf numFmtId="0" fontId="1" fillId="0" borderId="66" xfId="17" applyFont="1" applyBorder="1" applyAlignment="1">
      <alignment horizontal="left" vertical="center"/>
      <protection/>
    </xf>
    <xf numFmtId="0" fontId="1" fillId="0" borderId="67" xfId="17" applyFont="1" applyBorder="1" applyAlignment="1">
      <alignment horizontal="left" vertical="center"/>
      <protection/>
    </xf>
    <xf numFmtId="0" fontId="1" fillId="0" borderId="68" xfId="17" applyFont="1" applyBorder="1" applyAlignment="1">
      <alignment horizontal="left" vertical="center"/>
      <protection/>
    </xf>
    <xf numFmtId="0" fontId="1" fillId="0" borderId="69" xfId="17" applyFont="1" applyBorder="1" applyAlignment="1">
      <alignment horizontal="left" vertical="center"/>
      <protection/>
    </xf>
    <xf numFmtId="0" fontId="1" fillId="0" borderId="69" xfId="17" applyFont="1" applyBorder="1" applyAlignment="1">
      <alignment horizontal="left" vertical="center" wrapText="1"/>
      <protection/>
    </xf>
    <xf numFmtId="0" fontId="1" fillId="0" borderId="67" xfId="17" applyBorder="1" applyAlignment="1">
      <alignment horizontal="left" vertical="center"/>
      <protection/>
    </xf>
    <xf numFmtId="0" fontId="1" fillId="0" borderId="69" xfId="17" applyBorder="1" applyAlignment="1">
      <alignment horizontal="left" vertical="center"/>
      <protection/>
    </xf>
    <xf numFmtId="0" fontId="1" fillId="0" borderId="70" xfId="17" applyFont="1" applyBorder="1" applyAlignment="1">
      <alignment horizontal="left" vertical="center"/>
      <protection/>
    </xf>
    <xf numFmtId="0" fontId="1" fillId="0" borderId="71" xfId="17" applyBorder="1" applyAlignment="1">
      <alignment horizontal="left" vertical="center"/>
      <protection/>
    </xf>
    <xf numFmtId="0" fontId="1" fillId="0" borderId="72" xfId="17" applyFont="1" applyBorder="1" applyAlignment="1">
      <alignment horizontal="center" vertical="center"/>
      <protection/>
    </xf>
    <xf numFmtId="0" fontId="1" fillId="0" borderId="73" xfId="17" applyFont="1" applyBorder="1" applyAlignment="1">
      <alignment horizontal="center" vertical="center"/>
      <protection/>
    </xf>
    <xf numFmtId="0" fontId="1" fillId="0" borderId="74" xfId="17" applyFont="1" applyBorder="1" applyAlignment="1">
      <alignment horizontal="center" vertical="center"/>
      <protection/>
    </xf>
    <xf numFmtId="0" fontId="1" fillId="0" borderId="75" xfId="17" applyFont="1" applyBorder="1" applyAlignment="1">
      <alignment horizontal="center" vertical="center"/>
      <protection/>
    </xf>
    <xf numFmtId="0" fontId="1" fillId="0" borderId="76" xfId="17" applyBorder="1" applyAlignment="1">
      <alignment horizontal="center" vertical="center"/>
      <protection/>
    </xf>
    <xf numFmtId="0" fontId="1" fillId="0" borderId="77" xfId="17" applyBorder="1" applyAlignment="1">
      <alignment horizontal="right" vertical="center"/>
      <protection/>
    </xf>
    <xf numFmtId="0" fontId="1" fillId="0" borderId="78" xfId="17" applyFont="1" applyBorder="1" applyAlignment="1">
      <alignment horizontal="center" vertical="center"/>
      <protection/>
    </xf>
    <xf numFmtId="0" fontId="1" fillId="0" borderId="47" xfId="17" applyBorder="1" applyAlignment="1">
      <alignment horizontal="center" vertical="center"/>
      <protection/>
    </xf>
    <xf numFmtId="0" fontId="1" fillId="0" borderId="79" xfId="17" applyBorder="1" applyAlignment="1">
      <alignment horizontal="right" vertical="center"/>
      <protection/>
    </xf>
    <xf numFmtId="1" fontId="1" fillId="0" borderId="69" xfId="17" applyNumberFormat="1" applyBorder="1" applyAlignment="1">
      <alignment horizontal="left" vertical="center"/>
      <protection/>
    </xf>
    <xf numFmtId="0" fontId="1" fillId="0" borderId="80" xfId="17" applyFont="1" applyBorder="1" applyAlignment="1">
      <alignment horizontal="center" vertical="center"/>
      <protection/>
    </xf>
    <xf numFmtId="0" fontId="1" fillId="0" borderId="81" xfId="17" applyBorder="1" applyAlignment="1">
      <alignment horizontal="center" vertical="center"/>
      <protection/>
    </xf>
    <xf numFmtId="0" fontId="1" fillId="0" borderId="75" xfId="17" applyFont="1" applyBorder="1" applyAlignment="1">
      <alignment horizontal="left" vertical="center"/>
      <protection/>
    </xf>
    <xf numFmtId="0" fontId="1" fillId="0" borderId="77" xfId="17" applyBorder="1" applyAlignment="1">
      <alignment horizontal="left" vertical="center"/>
      <protection/>
    </xf>
    <xf numFmtId="0" fontId="1" fillId="0" borderId="78" xfId="17" applyFont="1" applyBorder="1" applyAlignment="1">
      <alignment horizontal="left" vertical="center"/>
      <protection/>
    </xf>
    <xf numFmtId="0" fontId="1" fillId="0" borderId="79" xfId="17" applyBorder="1" applyAlignment="1">
      <alignment horizontal="left" vertical="center"/>
      <protection/>
    </xf>
    <xf numFmtId="0" fontId="1" fillId="0" borderId="80" xfId="17" applyFont="1" applyBorder="1" applyAlignment="1">
      <alignment horizontal="left" vertical="center"/>
      <protection/>
    </xf>
    <xf numFmtId="0" fontId="1" fillId="0" borderId="82" xfId="17" applyFont="1" applyBorder="1" applyAlignment="1">
      <alignment horizontal="center" vertical="center"/>
      <protection/>
    </xf>
    <xf numFmtId="1" fontId="1" fillId="0" borderId="69" xfId="17" applyNumberFormat="1" applyFont="1" applyBorder="1" applyAlignment="1">
      <alignment horizontal="left" vertical="center" wrapText="1"/>
      <protection/>
    </xf>
    <xf numFmtId="0" fontId="1" fillId="0" borderId="78" xfId="17" applyFont="1" applyBorder="1" applyAlignment="1">
      <alignment horizontal="left" vertical="center" wrapText="1"/>
      <protection/>
    </xf>
    <xf numFmtId="0" fontId="1" fillId="0" borderId="83" xfId="17" applyBorder="1" applyAlignment="1">
      <alignment horizontal="left" vertical="center" wrapText="1"/>
      <protection/>
    </xf>
    <xf numFmtId="165" fontId="1" fillId="0" borderId="0" xfId="17" applyNumberFormat="1" applyFont="1" applyBorder="1" applyAlignment="1">
      <alignment horizontal="center"/>
      <protection/>
    </xf>
    <xf numFmtId="0" fontId="1" fillId="0" borderId="0" xfId="17" applyNumberFormat="1" applyFont="1" applyBorder="1" applyAlignment="1">
      <alignment horizontal="center"/>
      <protection/>
    </xf>
    <xf numFmtId="0" fontId="33" fillId="0" borderId="0" xfId="17" applyFont="1" applyBorder="1" applyAlignment="1">
      <alignment horizontal="center"/>
      <protection/>
    </xf>
    <xf numFmtId="165" fontId="1" fillId="0" borderId="75" xfId="17" applyNumberFormat="1" applyFont="1" applyBorder="1" applyAlignment="1">
      <alignment horizontal="center" vertical="center"/>
      <protection/>
    </xf>
    <xf numFmtId="0" fontId="1" fillId="0" borderId="77" xfId="17" applyFont="1" applyBorder="1" applyAlignment="1">
      <alignment vertical="center"/>
      <protection/>
    </xf>
    <xf numFmtId="165" fontId="1" fillId="0" borderId="78" xfId="17" applyNumberFormat="1" applyFont="1" applyBorder="1" applyAlignment="1">
      <alignment horizontal="center" vertical="center"/>
      <protection/>
    </xf>
    <xf numFmtId="0" fontId="1" fillId="0" borderId="79" xfId="17" applyBorder="1" applyAlignment="1">
      <alignment vertical="center"/>
      <protection/>
    </xf>
    <xf numFmtId="0" fontId="1" fillId="0" borderId="78" xfId="17" applyBorder="1" applyAlignment="1">
      <alignment vertical="center" wrapText="1"/>
      <protection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/>
    </xf>
    <xf numFmtId="0" fontId="0" fillId="0" borderId="0" xfId="0" applyAlignment="1">
      <alignment/>
    </xf>
    <xf numFmtId="170" fontId="22" fillId="0" borderId="0" xfId="0" applyNumberFormat="1" applyFont="1" applyBorder="1" applyAlignment="1">
      <alignment horizontal="left"/>
    </xf>
    <xf numFmtId="170" fontId="22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Normal_denetim belgesi - lütfi" xfId="17"/>
    <cellStyle name="Normal_EK1 TESİSAT İLE EK2 MESLEKİ DEN. UCRETLERI 2006 (2)" xfId="18"/>
    <cellStyle name="Normal_MMOÜC98tu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85725</xdr:colOff>
      <xdr:row>23</xdr:row>
      <xdr:rowOff>142875</xdr:rowOff>
    </xdr:from>
    <xdr:to>
      <xdr:col>16</xdr:col>
      <xdr:colOff>152400</xdr:colOff>
      <xdr:row>47</xdr:row>
      <xdr:rowOff>533400</xdr:rowOff>
    </xdr:to>
    <xdr:pic>
      <xdr:nvPicPr>
        <xdr:cNvPr id="1" name="m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686175"/>
          <a:ext cx="5000625" cy="503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12</xdr:row>
      <xdr:rowOff>0</xdr:rowOff>
    </xdr:from>
    <xdr:to>
      <xdr:col>18</xdr:col>
      <xdr:colOff>28575</xdr:colOff>
      <xdr:row>14</xdr:row>
      <xdr:rowOff>142875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7086600" y="1685925"/>
          <a:ext cx="466725" cy="466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Hologramsız
Belge
Geçersizdir</a:t>
          </a:r>
        </a:p>
      </xdr:txBody>
    </xdr:sp>
    <xdr:clientData/>
  </xdr:twoCellAnchor>
  <xdr:twoCellAnchor editAs="absolute">
    <xdr:from>
      <xdr:col>8</xdr:col>
      <xdr:colOff>85725</xdr:colOff>
      <xdr:row>23</xdr:row>
      <xdr:rowOff>142875</xdr:rowOff>
    </xdr:from>
    <xdr:to>
      <xdr:col>16</xdr:col>
      <xdr:colOff>38100</xdr:colOff>
      <xdr:row>49</xdr:row>
      <xdr:rowOff>133350</xdr:rowOff>
    </xdr:to>
    <xdr:pic>
      <xdr:nvPicPr>
        <xdr:cNvPr id="2" name="m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686175"/>
          <a:ext cx="4991100" cy="503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85725</xdr:colOff>
      <xdr:row>23</xdr:row>
      <xdr:rowOff>142875</xdr:rowOff>
    </xdr:from>
    <xdr:to>
      <xdr:col>16</xdr:col>
      <xdr:colOff>38100</xdr:colOff>
      <xdr:row>47</xdr:row>
      <xdr:rowOff>533400</xdr:rowOff>
    </xdr:to>
    <xdr:pic>
      <xdr:nvPicPr>
        <xdr:cNvPr id="1" name="m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686175"/>
          <a:ext cx="4991100" cy="503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390525</xdr:colOff>
      <xdr:row>12</xdr:row>
      <xdr:rowOff>0</xdr:rowOff>
    </xdr:from>
    <xdr:to>
      <xdr:col>18</xdr:col>
      <xdr:colOff>28575</xdr:colOff>
      <xdr:row>14</xdr:row>
      <xdr:rowOff>142875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7086600" y="1676400"/>
          <a:ext cx="466725" cy="466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Hologramsız
Belge
Geçersizdir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85725</xdr:colOff>
      <xdr:row>23</xdr:row>
      <xdr:rowOff>142875</xdr:rowOff>
    </xdr:from>
    <xdr:to>
      <xdr:col>16</xdr:col>
      <xdr:colOff>38100</xdr:colOff>
      <xdr:row>48</xdr:row>
      <xdr:rowOff>333375</xdr:rowOff>
    </xdr:to>
    <xdr:pic>
      <xdr:nvPicPr>
        <xdr:cNvPr id="1" name="m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695700"/>
          <a:ext cx="4991100" cy="503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390525</xdr:colOff>
      <xdr:row>12</xdr:row>
      <xdr:rowOff>0</xdr:rowOff>
    </xdr:from>
    <xdr:to>
      <xdr:col>18</xdr:col>
      <xdr:colOff>28575</xdr:colOff>
      <xdr:row>14</xdr:row>
      <xdr:rowOff>142875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7086600" y="1657350"/>
          <a:ext cx="466725" cy="4667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Hologramsız
Belge
Geçersizdir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7"/>
  <sheetViews>
    <sheetView showZeros="0" workbookViewId="0" topLeftCell="A1">
      <selection activeCell="AU5" sqref="AU5"/>
    </sheetView>
  </sheetViews>
  <sheetFormatPr defaultColWidth="9.140625" defaultRowHeight="12.75"/>
  <cols>
    <col min="1" max="1" width="1.1484375" style="0" customWidth="1"/>
    <col min="2" max="50" width="2.00390625" style="0" customWidth="1"/>
    <col min="51" max="51" width="0.9921875" style="0" customWidth="1"/>
    <col min="52" max="16384" width="2.00390625" style="0" customWidth="1"/>
  </cols>
  <sheetData>
    <row r="1" spans="1:5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</row>
    <row r="2" spans="1:51" ht="7.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5"/>
    </row>
    <row r="3" spans="1:51" ht="18">
      <c r="A3" s="4"/>
      <c r="B3" s="344" t="s">
        <v>0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 t="s">
        <v>1</v>
      </c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5"/>
    </row>
    <row r="4" spans="1:52" ht="24.75" customHeight="1">
      <c r="A4" s="4"/>
      <c r="B4" s="345" t="s">
        <v>2</v>
      </c>
      <c r="C4" s="345"/>
      <c r="D4" s="345"/>
      <c r="E4" s="345"/>
      <c r="F4" s="345"/>
      <c r="G4" s="345"/>
      <c r="H4" s="345"/>
      <c r="I4" s="345"/>
      <c r="J4" s="345"/>
      <c r="K4" s="346" t="s">
        <v>3</v>
      </c>
      <c r="L4" s="346"/>
      <c r="M4" s="346"/>
      <c r="N4" s="346"/>
      <c r="O4" s="346"/>
      <c r="P4" s="347" t="s">
        <v>4</v>
      </c>
      <c r="Q4" s="347"/>
      <c r="R4" s="347"/>
      <c r="S4" s="347"/>
      <c r="T4" s="347"/>
      <c r="U4" s="348" t="s">
        <v>5</v>
      </c>
      <c r="V4" s="348"/>
      <c r="W4" s="348"/>
      <c r="X4" s="348"/>
      <c r="Y4" s="345" t="s">
        <v>2</v>
      </c>
      <c r="Z4" s="345"/>
      <c r="AA4" s="345"/>
      <c r="AB4" s="345"/>
      <c r="AC4" s="345"/>
      <c r="AD4" s="345"/>
      <c r="AE4" s="345"/>
      <c r="AF4" s="345"/>
      <c r="AG4" s="345"/>
      <c r="AH4" s="346" t="s">
        <v>3</v>
      </c>
      <c r="AI4" s="346"/>
      <c r="AJ4" s="346"/>
      <c r="AK4" s="346"/>
      <c r="AL4" s="346"/>
      <c r="AM4" s="346" t="s">
        <v>4</v>
      </c>
      <c r="AN4" s="346"/>
      <c r="AO4" s="346"/>
      <c r="AP4" s="346"/>
      <c r="AQ4" s="346"/>
      <c r="AR4" s="346"/>
      <c r="AS4" s="346"/>
      <c r="AT4" s="346"/>
      <c r="AU4" s="349" t="s">
        <v>6</v>
      </c>
      <c r="AV4" s="349"/>
      <c r="AW4" s="349"/>
      <c r="AX4" s="349"/>
      <c r="AY4" s="6"/>
      <c r="AZ4" s="7"/>
    </row>
    <row r="5" spans="1:52" ht="24.75" customHeight="1">
      <c r="A5" s="4"/>
      <c r="B5" s="345"/>
      <c r="C5" s="345"/>
      <c r="D5" s="345"/>
      <c r="E5" s="345"/>
      <c r="F5" s="345"/>
      <c r="G5" s="345"/>
      <c r="H5" s="345"/>
      <c r="I5" s="345"/>
      <c r="J5" s="345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50"/>
      <c r="V5" s="350"/>
      <c r="W5" s="350"/>
      <c r="X5" s="350"/>
      <c r="Y5" s="345"/>
      <c r="Z5" s="345"/>
      <c r="AA5" s="345"/>
      <c r="AB5" s="345"/>
      <c r="AC5" s="345"/>
      <c r="AD5" s="345"/>
      <c r="AE5" s="345"/>
      <c r="AF5" s="345"/>
      <c r="AG5" s="345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50"/>
      <c r="AV5" s="350"/>
      <c r="AW5" s="350"/>
      <c r="AX5" s="350"/>
      <c r="AY5" s="6"/>
      <c r="AZ5" s="7"/>
    </row>
    <row r="6" spans="1:51" ht="12.75">
      <c r="A6" s="4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  <c r="AY6" s="5"/>
    </row>
    <row r="7" spans="1:51" ht="12.75">
      <c r="A7" s="4"/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5"/>
      <c r="Y7" s="4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5"/>
      <c r="AY7" s="5"/>
    </row>
    <row r="8" spans="1:51" ht="12.75">
      <c r="A8" s="4"/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5"/>
      <c r="Y8" s="4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5"/>
      <c r="AY8" s="5"/>
    </row>
    <row r="9" spans="1:51" ht="12.75">
      <c r="A9" s="4"/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"/>
      <c r="Y9" s="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5"/>
      <c r="AY9" s="5"/>
    </row>
    <row r="10" spans="1:51" ht="12.75">
      <c r="A10" s="4"/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5"/>
      <c r="Y10" s="4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5"/>
      <c r="AY10" s="5"/>
    </row>
    <row r="11" spans="1:51" ht="12.75">
      <c r="A11" s="4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5"/>
      <c r="Y11" s="4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5"/>
      <c r="AY11" s="5"/>
    </row>
    <row r="12" spans="1:51" ht="12.75">
      <c r="A12" s="4"/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5"/>
      <c r="Y12" s="4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5"/>
      <c r="AY12" s="5"/>
    </row>
    <row r="13" spans="1:51" ht="12.75">
      <c r="A13" s="4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5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4"/>
      <c r="AY13" s="5"/>
    </row>
    <row r="14" spans="1:51" ht="6" customHeight="1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5"/>
    </row>
    <row r="15" spans="1:51" ht="34.5" customHeight="1">
      <c r="A15" s="4"/>
      <c r="B15" s="351" t="s">
        <v>7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2" t="s">
        <v>8</v>
      </c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5"/>
    </row>
    <row r="16" spans="1:51" ht="12.75">
      <c r="A16" s="4"/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"/>
      <c r="Y16" s="4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5"/>
      <c r="AY16" s="5"/>
    </row>
    <row r="17" spans="1:51" ht="12.75">
      <c r="A17" s="4"/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5"/>
      <c r="Y17" s="4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5"/>
      <c r="AY17" s="5"/>
    </row>
    <row r="18" spans="1:51" ht="12.75">
      <c r="A18" s="4"/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5"/>
      <c r="Y18" s="4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5"/>
      <c r="AY18" s="5"/>
    </row>
    <row r="19" spans="1:51" ht="12.75">
      <c r="A19" s="4"/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5"/>
      <c r="Y19" s="4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5"/>
      <c r="AY19" s="5"/>
    </row>
    <row r="20" spans="1:51" ht="12.75">
      <c r="A20" s="4"/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5"/>
      <c r="Y20" s="4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5"/>
      <c r="AY20" s="5"/>
    </row>
    <row r="21" spans="1:51" ht="12.75">
      <c r="A21" s="4"/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5"/>
      <c r="Y21" s="4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5"/>
      <c r="AY21" s="5"/>
    </row>
    <row r="22" spans="1:51" ht="12.75">
      <c r="A22" s="4"/>
      <c r="B22" s="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5"/>
      <c r="Y22" s="4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5"/>
      <c r="AY22" s="5"/>
    </row>
    <row r="23" spans="1:51" ht="12.75">
      <c r="A23" s="4"/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"/>
      <c r="Y23" s="4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5"/>
      <c r="AY23" s="5"/>
    </row>
    <row r="24" spans="1:51" ht="12.75">
      <c r="A24" s="4"/>
      <c r="B24" s="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5"/>
      <c r="Y24" s="4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5"/>
      <c r="AY24" s="5"/>
    </row>
    <row r="25" spans="1:51" ht="12.75">
      <c r="A25" s="4"/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5"/>
      <c r="Y25" s="4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5"/>
      <c r="AY25" s="5"/>
    </row>
    <row r="26" spans="1:51" ht="12.75">
      <c r="A26" s="4"/>
      <c r="B26" s="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5"/>
      <c r="Y26" s="4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5"/>
      <c r="AY26" s="5"/>
    </row>
    <row r="27" spans="1:51" ht="12.75">
      <c r="A27" s="4"/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"/>
      <c r="Y27" s="4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5"/>
      <c r="AY27" s="5"/>
    </row>
    <row r="28" spans="1:51" ht="12.75" customHeight="1">
      <c r="A28" s="4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2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4"/>
      <c r="AY28" s="5"/>
    </row>
    <row r="29" spans="1:51" ht="6" customHeight="1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5"/>
    </row>
    <row r="30" spans="1:51" ht="12.75" customHeight="1">
      <c r="A30" s="4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3"/>
      <c r="AY30" s="5"/>
    </row>
    <row r="31" spans="1:51" ht="12.75" customHeight="1">
      <c r="A31" s="4"/>
      <c r="B31" s="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1"/>
      <c r="AR31" s="11"/>
      <c r="AS31" s="11"/>
      <c r="AT31" s="11"/>
      <c r="AU31" s="11"/>
      <c r="AV31" s="11"/>
      <c r="AW31" s="11"/>
      <c r="AX31" s="5"/>
      <c r="AY31" s="5"/>
    </row>
    <row r="32" spans="1:51" ht="12.75" customHeight="1">
      <c r="A32" s="4"/>
      <c r="B32" s="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1"/>
      <c r="AR32" s="11"/>
      <c r="AS32" s="11"/>
      <c r="AT32" s="11"/>
      <c r="AU32" s="11"/>
      <c r="AV32" s="11"/>
      <c r="AW32" s="11"/>
      <c r="AX32" s="5"/>
      <c r="AY32" s="5"/>
    </row>
    <row r="33" spans="1:51" ht="12.75" customHeight="1">
      <c r="A33" s="4"/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1"/>
      <c r="AR33" s="11"/>
      <c r="AS33" s="11"/>
      <c r="AT33" s="11"/>
      <c r="AU33" s="11"/>
      <c r="AV33" s="11"/>
      <c r="AW33" s="11"/>
      <c r="AX33" s="5"/>
      <c r="AY33" s="5"/>
    </row>
    <row r="34" spans="1:51" ht="10.5" customHeight="1">
      <c r="A34" s="4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1"/>
      <c r="AR34" s="11"/>
      <c r="AS34" s="11"/>
      <c r="AT34" s="11"/>
      <c r="AU34" s="11"/>
      <c r="AV34" s="11"/>
      <c r="AW34" s="11"/>
      <c r="AX34" s="5"/>
      <c r="AY34" s="5"/>
    </row>
    <row r="35" spans="1:51" ht="24">
      <c r="A35" s="4"/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1"/>
      <c r="AR35" s="11"/>
      <c r="AS35" s="11"/>
      <c r="AT35" s="11"/>
      <c r="AU35" s="11"/>
      <c r="AV35" s="11"/>
      <c r="AW35" s="11"/>
      <c r="AX35" s="5"/>
      <c r="AY35" s="5"/>
    </row>
    <row r="36" spans="1:51" ht="24">
      <c r="A36" s="4"/>
      <c r="B36" s="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1"/>
      <c r="AR36" s="11"/>
      <c r="AS36" s="11"/>
      <c r="AT36" s="11"/>
      <c r="AU36" s="11"/>
      <c r="AV36" s="11"/>
      <c r="AW36" s="11"/>
      <c r="AX36" s="5"/>
      <c r="AY36" s="5"/>
    </row>
    <row r="37" spans="1:51" ht="14.25">
      <c r="A37" s="4"/>
      <c r="B37" s="4"/>
      <c r="C37" s="11"/>
      <c r="D37" s="11"/>
      <c r="E37" s="11"/>
      <c r="F37" s="11"/>
      <c r="G37" s="11"/>
      <c r="H37" s="20"/>
      <c r="I37" s="11"/>
      <c r="J37" s="11"/>
      <c r="K37" s="11"/>
      <c r="L37" s="11"/>
      <c r="M37" s="11"/>
      <c r="N37" s="11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18"/>
      <c r="AM37" s="18"/>
      <c r="AN37" s="18"/>
      <c r="AO37" s="18"/>
      <c r="AP37" s="18"/>
      <c r="AQ37" s="11"/>
      <c r="AR37" s="11"/>
      <c r="AS37" s="11"/>
      <c r="AT37" s="11"/>
      <c r="AU37" s="11"/>
      <c r="AV37" s="11"/>
      <c r="AW37" s="11"/>
      <c r="AX37" s="5"/>
      <c r="AY37" s="5"/>
    </row>
    <row r="38" spans="1:51" ht="14.25">
      <c r="A38" s="4"/>
      <c r="B38" s="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/>
      <c r="AQ38" s="11"/>
      <c r="AR38" s="11"/>
      <c r="AS38" s="11"/>
      <c r="AT38" s="11"/>
      <c r="AU38" s="11"/>
      <c r="AV38" s="11"/>
      <c r="AW38" s="11"/>
      <c r="AX38" s="5"/>
      <c r="AY38" s="5"/>
    </row>
    <row r="39" spans="1:51" ht="14.25">
      <c r="A39" s="4"/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8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1"/>
      <c r="AR39" s="11"/>
      <c r="AS39" s="11"/>
      <c r="AT39" s="11"/>
      <c r="AU39" s="11"/>
      <c r="AV39" s="11"/>
      <c r="AW39" s="11"/>
      <c r="AX39" s="5"/>
      <c r="AY39" s="5"/>
    </row>
    <row r="40" spans="1:51" ht="12.75">
      <c r="A40" s="4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4"/>
      <c r="AY40" s="5"/>
    </row>
    <row r="41" spans="1:51" ht="6" customHeight="1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5"/>
    </row>
    <row r="42" spans="1:51" ht="15" customHeight="1">
      <c r="A42" s="4"/>
      <c r="B42" s="353" t="s">
        <v>9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5"/>
    </row>
    <row r="43" spans="1:51" ht="12.75">
      <c r="A43" s="4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5"/>
    </row>
    <row r="44" spans="1:51" ht="6.75" customHeight="1">
      <c r="A44" s="4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4"/>
      <c r="AY44" s="5"/>
    </row>
    <row r="45" spans="1:51" ht="6" customHeight="1">
      <c r="A45" s="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5"/>
    </row>
    <row r="46" spans="1:51" ht="18.75" customHeight="1">
      <c r="A46" s="4"/>
      <c r="B46" s="354" t="s">
        <v>10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5"/>
    </row>
    <row r="47" spans="1:51" ht="19.5" customHeight="1">
      <c r="A47" s="4"/>
      <c r="B47" s="345" t="s">
        <v>11</v>
      </c>
      <c r="C47" s="345"/>
      <c r="D47" s="345"/>
      <c r="E47" s="345"/>
      <c r="F47" s="345"/>
      <c r="G47" s="346" t="s">
        <v>12</v>
      </c>
      <c r="H47" s="346"/>
      <c r="I47" s="346"/>
      <c r="J47" s="346"/>
      <c r="K47" s="346"/>
      <c r="L47" s="346" t="s">
        <v>13</v>
      </c>
      <c r="M47" s="346"/>
      <c r="N47" s="346"/>
      <c r="O47" s="346"/>
      <c r="P47" s="346"/>
      <c r="Q47" s="346"/>
      <c r="R47" s="346"/>
      <c r="S47" s="346"/>
      <c r="T47" s="346"/>
      <c r="U47" s="346" t="s">
        <v>14</v>
      </c>
      <c r="V47" s="346"/>
      <c r="W47" s="346"/>
      <c r="X47" s="346"/>
      <c r="Y47" s="346"/>
      <c r="Z47" s="346"/>
      <c r="AA47" s="346"/>
      <c r="AB47" s="346"/>
      <c r="AC47" s="346"/>
      <c r="AD47" s="346"/>
      <c r="AE47" s="346" t="s">
        <v>15</v>
      </c>
      <c r="AF47" s="346"/>
      <c r="AG47" s="346"/>
      <c r="AH47" s="346"/>
      <c r="AI47" s="346" t="s">
        <v>16</v>
      </c>
      <c r="AJ47" s="346"/>
      <c r="AK47" s="346"/>
      <c r="AL47" s="346"/>
      <c r="AM47" s="346"/>
      <c r="AN47" s="346" t="s">
        <v>17</v>
      </c>
      <c r="AO47" s="346"/>
      <c r="AP47" s="346"/>
      <c r="AQ47" s="346"/>
      <c r="AR47" s="355" t="s">
        <v>18</v>
      </c>
      <c r="AS47" s="355"/>
      <c r="AT47" s="355"/>
      <c r="AU47" s="355"/>
      <c r="AV47" s="355"/>
      <c r="AW47" s="355"/>
      <c r="AX47" s="355"/>
      <c r="AY47" s="5"/>
    </row>
    <row r="48" spans="1:51" ht="19.5" customHeight="1">
      <c r="A48" s="4"/>
      <c r="B48" s="356">
        <f>SÖZLEŞME!B17</f>
        <v>0</v>
      </c>
      <c r="C48" s="356"/>
      <c r="D48" s="356"/>
      <c r="E48" s="356"/>
      <c r="F48" s="356"/>
      <c r="G48" s="357">
        <f>SÖZLEŞME!G17</f>
        <v>0</v>
      </c>
      <c r="H48" s="357"/>
      <c r="I48" s="357"/>
      <c r="J48" s="357"/>
      <c r="K48" s="357"/>
      <c r="L48" s="357">
        <f>SÖZLEŞME!K17</f>
        <v>0</v>
      </c>
      <c r="M48" s="357"/>
      <c r="N48" s="357"/>
      <c r="O48" s="357"/>
      <c r="P48" s="357"/>
      <c r="Q48" s="357"/>
      <c r="R48" s="357"/>
      <c r="S48" s="357"/>
      <c r="T48" s="357"/>
      <c r="U48" s="357">
        <f>SÖZLEŞME!R17</f>
        <v>0</v>
      </c>
      <c r="V48" s="357"/>
      <c r="W48" s="357"/>
      <c r="X48" s="357"/>
      <c r="Y48" s="357"/>
      <c r="Z48" s="357"/>
      <c r="AA48" s="357"/>
      <c r="AB48" s="357"/>
      <c r="AC48" s="357"/>
      <c r="AD48" s="357"/>
      <c r="AE48" s="358">
        <f>SÖZLEŞME!AA17</f>
        <v>0</v>
      </c>
      <c r="AF48" s="358"/>
      <c r="AG48" s="358"/>
      <c r="AH48" s="358"/>
      <c r="AI48" s="357">
        <f>SÖZLEŞME!AF17</f>
        <v>0</v>
      </c>
      <c r="AJ48" s="357"/>
      <c r="AK48" s="357"/>
      <c r="AL48" s="357"/>
      <c r="AM48" s="357"/>
      <c r="AN48" s="358">
        <f>SÖZLEŞME!AJ17</f>
        <v>0</v>
      </c>
      <c r="AO48" s="358"/>
      <c r="AP48" s="358"/>
      <c r="AQ48" s="358"/>
      <c r="AR48" s="355"/>
      <c r="AS48" s="355"/>
      <c r="AT48" s="355"/>
      <c r="AU48" s="355"/>
      <c r="AV48" s="355"/>
      <c r="AW48" s="355"/>
      <c r="AX48" s="355"/>
      <c r="AY48" s="5"/>
    </row>
    <row r="49" spans="1:51" ht="20.25">
      <c r="A49" s="4"/>
      <c r="B49" s="359" t="s">
        <v>19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60">
        <f>SÖZLEŞME!Y7</f>
        <v>0</v>
      </c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1" t="s">
        <v>20</v>
      </c>
      <c r="AS49" s="361"/>
      <c r="AT49" s="361"/>
      <c r="AU49" s="361"/>
      <c r="AV49" s="361"/>
      <c r="AW49" s="361"/>
      <c r="AX49" s="361"/>
      <c r="AY49" s="5"/>
    </row>
    <row r="50" spans="1:51" ht="17.25" customHeight="1">
      <c r="A50" s="4"/>
      <c r="B50" s="362" t="s">
        <v>21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3">
        <f>SÖZLEŞME!Y8</f>
        <v>0</v>
      </c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4"/>
      <c r="AS50" s="364"/>
      <c r="AT50" s="364"/>
      <c r="AU50" s="364"/>
      <c r="AV50" s="364"/>
      <c r="AW50" s="364"/>
      <c r="AX50" s="364"/>
      <c r="AY50" s="5"/>
    </row>
    <row r="51" spans="1:51" ht="6" customHeight="1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5"/>
    </row>
    <row r="52" spans="1:51" ht="15">
      <c r="A52" s="4"/>
      <c r="B52" s="365" t="s">
        <v>22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5"/>
    </row>
    <row r="53" spans="1:51" ht="45" customHeight="1">
      <c r="A53" s="4"/>
      <c r="B53" s="366" t="s">
        <v>23</v>
      </c>
      <c r="C53" s="366"/>
      <c r="D53" s="366"/>
      <c r="E53" s="366"/>
      <c r="F53" s="366"/>
      <c r="G53" s="367" t="s">
        <v>24</v>
      </c>
      <c r="H53" s="367"/>
      <c r="I53" s="367"/>
      <c r="J53" s="367"/>
      <c r="K53" s="367"/>
      <c r="L53" s="367" t="s">
        <v>25</v>
      </c>
      <c r="M53" s="367"/>
      <c r="N53" s="367"/>
      <c r="O53" s="367"/>
      <c r="P53" s="367"/>
      <c r="Q53" s="367"/>
      <c r="R53" s="367"/>
      <c r="S53" s="367"/>
      <c r="T53" s="367"/>
      <c r="U53" s="367" t="s">
        <v>26</v>
      </c>
      <c r="V53" s="367"/>
      <c r="W53" s="367"/>
      <c r="X53" s="367"/>
      <c r="Y53" s="367"/>
      <c r="Z53" s="367"/>
      <c r="AA53" s="367"/>
      <c r="AB53" s="367"/>
      <c r="AC53" s="367"/>
      <c r="AD53" s="367" t="s">
        <v>27</v>
      </c>
      <c r="AE53" s="367"/>
      <c r="AF53" s="367"/>
      <c r="AG53" s="367"/>
      <c r="AH53" s="367"/>
      <c r="AI53" s="367" t="s">
        <v>28</v>
      </c>
      <c r="AJ53" s="367"/>
      <c r="AK53" s="367"/>
      <c r="AL53" s="367"/>
      <c r="AM53" s="367"/>
      <c r="AN53" s="367" t="s">
        <v>29</v>
      </c>
      <c r="AO53" s="367"/>
      <c r="AP53" s="367"/>
      <c r="AQ53" s="367"/>
      <c r="AR53" s="368" t="s">
        <v>30</v>
      </c>
      <c r="AS53" s="368"/>
      <c r="AT53" s="368"/>
      <c r="AU53" s="368"/>
      <c r="AV53" s="368"/>
      <c r="AW53" s="368"/>
      <c r="AX53" s="368"/>
      <c r="AY53" s="5"/>
    </row>
    <row r="54" spans="1:51" ht="6.75" customHeight="1">
      <c r="A54" s="4"/>
      <c r="B54" s="369"/>
      <c r="C54" s="369"/>
      <c r="D54" s="369"/>
      <c r="E54" s="369"/>
      <c r="F54" s="369"/>
      <c r="G54" s="370">
        <f>'ASGARİ ÜCRET FORMU'!F22</f>
        <v>2</v>
      </c>
      <c r="H54" s="370"/>
      <c r="I54" s="370"/>
      <c r="J54" s="370"/>
      <c r="K54" s="370"/>
      <c r="L54" s="371">
        <f>'ASGARİ ÜCRET FORMU'!C28</f>
        <v>230</v>
      </c>
      <c r="M54" s="371"/>
      <c r="N54" s="371"/>
      <c r="O54" s="371"/>
      <c r="P54" s="371"/>
      <c r="Q54" s="371"/>
      <c r="R54" s="371"/>
      <c r="S54" s="371"/>
      <c r="T54" s="371"/>
      <c r="U54" s="370">
        <f>SÖZLEŞME!G26</f>
        <v>1</v>
      </c>
      <c r="V54" s="370"/>
      <c r="W54" s="370"/>
      <c r="X54" s="370"/>
      <c r="Y54" s="370"/>
      <c r="Z54" s="370"/>
      <c r="AA54" s="370"/>
      <c r="AB54" s="370"/>
      <c r="AC54" s="370"/>
      <c r="AD54" s="370">
        <f>SÖZLEŞME!M26</f>
        <v>1</v>
      </c>
      <c r="AE54" s="370"/>
      <c r="AF54" s="370"/>
      <c r="AG54" s="370"/>
      <c r="AH54" s="370"/>
      <c r="AI54" s="370">
        <f>SÖZLEŞME!Q26</f>
        <v>360</v>
      </c>
      <c r="AJ54" s="370"/>
      <c r="AK54" s="370"/>
      <c r="AL54" s="370"/>
      <c r="AM54" s="370"/>
      <c r="AN54" s="370">
        <f>SÖZLEŞME!AG26</f>
        <v>9</v>
      </c>
      <c r="AO54" s="370"/>
      <c r="AP54" s="370"/>
      <c r="AQ54" s="370"/>
      <c r="AR54" s="372">
        <f>SÖZLEŞME!B26</f>
        <v>0</v>
      </c>
      <c r="AS54" s="372"/>
      <c r="AT54" s="372"/>
      <c r="AU54" s="372"/>
      <c r="AV54" s="372"/>
      <c r="AW54" s="372"/>
      <c r="AX54" s="372"/>
      <c r="AY54" s="5"/>
    </row>
    <row r="55" spans="1:51" ht="12.75">
      <c r="A55" s="4"/>
      <c r="B55" s="369"/>
      <c r="C55" s="369"/>
      <c r="D55" s="369"/>
      <c r="E55" s="369"/>
      <c r="F55" s="369"/>
      <c r="G55" s="370"/>
      <c r="H55" s="370"/>
      <c r="I55" s="370"/>
      <c r="J55" s="370"/>
      <c r="K55" s="370"/>
      <c r="L55" s="371"/>
      <c r="M55" s="371"/>
      <c r="N55" s="371"/>
      <c r="O55" s="371"/>
      <c r="P55" s="371"/>
      <c r="Q55" s="371"/>
      <c r="R55" s="371"/>
      <c r="S55" s="371"/>
      <c r="T55" s="371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2"/>
      <c r="AS55" s="372"/>
      <c r="AT55" s="372"/>
      <c r="AU55" s="372"/>
      <c r="AV55" s="372"/>
      <c r="AW55" s="372"/>
      <c r="AX55" s="372"/>
      <c r="AY55" s="5"/>
    </row>
    <row r="56" spans="1:51" ht="6.75" customHeight="1">
      <c r="A56" s="4"/>
      <c r="B56" s="369"/>
      <c r="C56" s="369"/>
      <c r="D56" s="369"/>
      <c r="E56" s="369"/>
      <c r="F56" s="369"/>
      <c r="G56" s="370"/>
      <c r="H56" s="370"/>
      <c r="I56" s="370"/>
      <c r="J56" s="370"/>
      <c r="K56" s="370"/>
      <c r="L56" s="371"/>
      <c r="M56" s="371"/>
      <c r="N56" s="371"/>
      <c r="O56" s="371"/>
      <c r="P56" s="371"/>
      <c r="Q56" s="371"/>
      <c r="R56" s="371"/>
      <c r="S56" s="371"/>
      <c r="T56" s="371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2"/>
      <c r="AS56" s="372"/>
      <c r="AT56" s="372"/>
      <c r="AU56" s="372"/>
      <c r="AV56" s="372"/>
      <c r="AW56" s="372"/>
      <c r="AX56" s="372"/>
      <c r="AY56" s="5"/>
    </row>
    <row r="57" spans="1:51" ht="7.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4"/>
    </row>
    <row r="58" ht="6.75" customHeight="1"/>
  </sheetData>
  <mergeCells count="61">
    <mergeCell ref="AD54:AH56"/>
    <mergeCell ref="AI54:AM56"/>
    <mergeCell ref="AN54:AQ56"/>
    <mergeCell ref="AR54:AX56"/>
    <mergeCell ref="B54:F56"/>
    <mergeCell ref="G54:K56"/>
    <mergeCell ref="L54:T56"/>
    <mergeCell ref="U54:AC56"/>
    <mergeCell ref="B52:AX52"/>
    <mergeCell ref="B53:F53"/>
    <mergeCell ref="G53:K53"/>
    <mergeCell ref="L53:T53"/>
    <mergeCell ref="U53:AC53"/>
    <mergeCell ref="AD53:AH53"/>
    <mergeCell ref="AI53:AM53"/>
    <mergeCell ref="AN53:AQ53"/>
    <mergeCell ref="AR53:AX53"/>
    <mergeCell ref="B49:K49"/>
    <mergeCell ref="L49:AQ49"/>
    <mergeCell ref="AR49:AX49"/>
    <mergeCell ref="B50:K50"/>
    <mergeCell ref="L50:AQ50"/>
    <mergeCell ref="AR50:AX50"/>
    <mergeCell ref="AE48:AH48"/>
    <mergeCell ref="AI48:AM48"/>
    <mergeCell ref="AN48:AQ48"/>
    <mergeCell ref="AR48:AX48"/>
    <mergeCell ref="B48:F48"/>
    <mergeCell ref="G48:K48"/>
    <mergeCell ref="L48:T48"/>
    <mergeCell ref="U48:AD48"/>
    <mergeCell ref="AE47:AH47"/>
    <mergeCell ref="AI47:AM47"/>
    <mergeCell ref="AN47:AQ47"/>
    <mergeCell ref="AR47:AX47"/>
    <mergeCell ref="B47:F47"/>
    <mergeCell ref="G47:K47"/>
    <mergeCell ref="L47:T47"/>
    <mergeCell ref="U47:AD47"/>
    <mergeCell ref="B15:X15"/>
    <mergeCell ref="Y15:AX15"/>
    <mergeCell ref="B42:AX43"/>
    <mergeCell ref="B46:AX46"/>
    <mergeCell ref="Y5:AG5"/>
    <mergeCell ref="AH5:AL5"/>
    <mergeCell ref="AM5:AT5"/>
    <mergeCell ref="AU5:AX5"/>
    <mergeCell ref="B5:J5"/>
    <mergeCell ref="K5:O5"/>
    <mergeCell ref="P5:T5"/>
    <mergeCell ref="U5:X5"/>
    <mergeCell ref="B3:X3"/>
    <mergeCell ref="Y3:AX3"/>
    <mergeCell ref="B4:J4"/>
    <mergeCell ref="K4:O4"/>
    <mergeCell ref="P4:T4"/>
    <mergeCell ref="U4:X4"/>
    <mergeCell ref="Y4:AG4"/>
    <mergeCell ref="AH4:AL4"/>
    <mergeCell ref="AM4:AT4"/>
    <mergeCell ref="AU4:AX4"/>
  </mergeCells>
  <printOptions/>
  <pageMargins left="0.2701388888888889" right="0.25" top="0.4902777777777778" bottom="0.5097222222222222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77"/>
  <sheetViews>
    <sheetView showZeros="0" workbookViewId="0" topLeftCell="A16">
      <selection activeCell="L29" sqref="L29"/>
    </sheetView>
  </sheetViews>
  <sheetFormatPr defaultColWidth="9.140625" defaultRowHeight="12.75"/>
  <cols>
    <col min="1" max="1" width="0.85546875" style="250" customWidth="1"/>
    <col min="2" max="3" width="1.28515625" style="250" customWidth="1"/>
    <col min="4" max="4" width="1.1484375" style="250" customWidth="1"/>
    <col min="5" max="5" width="2.421875" style="250" customWidth="1"/>
    <col min="6" max="6" width="6.140625" style="250" customWidth="1"/>
    <col min="7" max="7" width="5.57421875" style="250" customWidth="1"/>
    <col min="8" max="8" width="6.140625" style="250" customWidth="1"/>
    <col min="9" max="9" width="9.00390625" style="250" customWidth="1"/>
    <col min="10" max="10" width="13.7109375" style="250" customWidth="1"/>
    <col min="11" max="11" width="5.140625" style="250" customWidth="1"/>
    <col min="12" max="12" width="6.421875" style="250" customWidth="1"/>
    <col min="13" max="13" width="7.00390625" style="250" customWidth="1"/>
    <col min="14" max="14" width="8.00390625" style="250" customWidth="1"/>
    <col min="15" max="15" width="12.8515625" style="250" customWidth="1"/>
    <col min="16" max="16" width="13.421875" style="250" customWidth="1"/>
    <col min="17" max="17" width="6.140625" style="250" customWidth="1"/>
    <col min="18" max="18" width="6.28125" style="250" customWidth="1"/>
    <col min="19" max="19" width="6.57421875" style="250" customWidth="1"/>
    <col min="20" max="20" width="7.57421875" style="250" customWidth="1"/>
    <col min="21" max="21" width="0.85546875" style="250" customWidth="1"/>
    <col min="22" max="22" width="1.28515625" style="250" customWidth="1"/>
    <col min="23" max="16384" width="6.140625" style="250" customWidth="1"/>
  </cols>
  <sheetData>
    <row r="1" ht="8.25" customHeight="1"/>
    <row r="2" ht="4.5" customHeight="1"/>
    <row r="3" spans="2:22" ht="7.5" customHeight="1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2:22" ht="12.75">
      <c r="B4" s="254"/>
      <c r="C4" s="255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258"/>
    </row>
    <row r="5" spans="2:22" ht="15" customHeight="1">
      <c r="B5" s="254"/>
      <c r="C5" s="259"/>
      <c r="D5" s="260"/>
      <c r="E5" s="260"/>
      <c r="F5" s="260"/>
      <c r="G5" s="260"/>
      <c r="H5" s="260"/>
      <c r="I5" s="260"/>
      <c r="J5" s="260"/>
      <c r="K5" s="260"/>
      <c r="L5" s="338" t="s">
        <v>290</v>
      </c>
      <c r="M5" s="260"/>
      <c r="N5" s="260"/>
      <c r="O5" s="260"/>
      <c r="P5" s="260"/>
      <c r="Q5" s="260"/>
      <c r="R5" s="260"/>
      <c r="S5" s="260"/>
      <c r="T5" s="260"/>
      <c r="U5" s="262"/>
      <c r="V5" s="258"/>
    </row>
    <row r="6" spans="2:22" ht="15" customHeight="1">
      <c r="B6" s="254"/>
      <c r="C6" s="259"/>
      <c r="D6" s="260"/>
      <c r="E6" s="260"/>
      <c r="F6" s="260"/>
      <c r="G6" s="260"/>
      <c r="H6" s="260"/>
      <c r="I6" s="426" t="s">
        <v>242</v>
      </c>
      <c r="J6" s="426"/>
      <c r="K6" s="263"/>
      <c r="L6" s="264"/>
      <c r="M6" s="263"/>
      <c r="N6" s="265"/>
      <c r="O6" s="265"/>
      <c r="P6" s="427" t="s">
        <v>243</v>
      </c>
      <c r="Q6" s="427"/>
      <c r="R6" s="265"/>
      <c r="S6" s="260"/>
      <c r="T6" s="260"/>
      <c r="U6" s="262"/>
      <c r="V6" s="258"/>
    </row>
    <row r="7" spans="2:22" ht="15" customHeight="1">
      <c r="B7" s="254"/>
      <c r="C7" s="259"/>
      <c r="D7" s="260"/>
      <c r="E7" s="260"/>
      <c r="F7" s="260"/>
      <c r="G7" s="260"/>
      <c r="H7" s="260"/>
      <c r="I7" s="426"/>
      <c r="J7" s="426"/>
      <c r="K7" s="263"/>
      <c r="L7" s="263"/>
      <c r="M7" s="263"/>
      <c r="N7" s="265"/>
      <c r="O7" s="265"/>
      <c r="P7" s="427" t="s">
        <v>244</v>
      </c>
      <c r="Q7" s="427"/>
      <c r="R7" s="265"/>
      <c r="S7" s="260"/>
      <c r="T7" s="260"/>
      <c r="U7" s="262"/>
      <c r="V7" s="258"/>
    </row>
    <row r="8" spans="2:22" ht="12.75" customHeight="1">
      <c r="B8" s="254"/>
      <c r="C8" s="259"/>
      <c r="D8" s="260"/>
      <c r="E8" s="260"/>
      <c r="F8" s="260"/>
      <c r="G8" s="260"/>
      <c r="H8" s="260"/>
      <c r="I8" s="428" t="s">
        <v>245</v>
      </c>
      <c r="J8" s="428"/>
      <c r="K8" s="428"/>
      <c r="L8" s="428"/>
      <c r="M8" s="428"/>
      <c r="N8" s="428"/>
      <c r="O8" s="428"/>
      <c r="P8" s="427" t="s">
        <v>246</v>
      </c>
      <c r="Q8" s="427"/>
      <c r="R8" s="265"/>
      <c r="S8" s="260"/>
      <c r="T8" s="260"/>
      <c r="U8" s="262"/>
      <c r="V8" s="258"/>
    </row>
    <row r="9" spans="2:22" ht="10.5" customHeight="1">
      <c r="B9" s="254"/>
      <c r="C9" s="259"/>
      <c r="D9" s="260"/>
      <c r="E9" s="260"/>
      <c r="F9" s="260"/>
      <c r="G9" s="260"/>
      <c r="H9" s="260"/>
      <c r="I9" s="428"/>
      <c r="J9" s="428"/>
      <c r="K9" s="428"/>
      <c r="L9" s="428"/>
      <c r="M9" s="428"/>
      <c r="N9" s="428"/>
      <c r="O9" s="428"/>
      <c r="P9" s="260"/>
      <c r="Q9" s="260"/>
      <c r="R9" s="260"/>
      <c r="S9" s="260"/>
      <c r="T9" s="260"/>
      <c r="U9" s="262"/>
      <c r="V9" s="258"/>
    </row>
    <row r="10" spans="2:22" ht="10.5" customHeight="1">
      <c r="B10" s="254"/>
      <c r="C10" s="259"/>
      <c r="D10" s="260"/>
      <c r="E10" s="260"/>
      <c r="F10" s="260"/>
      <c r="G10" s="260"/>
      <c r="H10" s="260"/>
      <c r="I10" s="429" t="s">
        <v>247</v>
      </c>
      <c r="J10" s="429"/>
      <c r="K10" s="429"/>
      <c r="L10" s="429"/>
      <c r="M10" s="263"/>
      <c r="N10" s="266"/>
      <c r="O10" s="260"/>
      <c r="P10" s="260"/>
      <c r="Q10" s="260"/>
      <c r="R10" s="260"/>
      <c r="S10" s="260"/>
      <c r="T10" s="260"/>
      <c r="U10" s="262"/>
      <c r="V10" s="258"/>
    </row>
    <row r="11" spans="2:22" ht="10.5" customHeight="1">
      <c r="B11" s="254"/>
      <c r="C11" s="259"/>
      <c r="D11" s="260"/>
      <c r="E11" s="260"/>
      <c r="F11" s="260"/>
      <c r="G11" s="260"/>
      <c r="H11" s="260"/>
      <c r="I11" s="429"/>
      <c r="J11" s="429"/>
      <c r="K11" s="429"/>
      <c r="L11" s="429"/>
      <c r="M11" s="263"/>
      <c r="N11" s="266"/>
      <c r="O11" s="260"/>
      <c r="P11" s="260"/>
      <c r="Q11" s="260"/>
      <c r="R11" s="260"/>
      <c r="S11" s="260"/>
      <c r="T11" s="260"/>
      <c r="U11" s="262"/>
      <c r="V11" s="258"/>
    </row>
    <row r="12" spans="2:22" ht="10.5" customHeight="1">
      <c r="B12" s="254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2"/>
      <c r="V12" s="258"/>
    </row>
    <row r="13" spans="2:22" ht="12.75">
      <c r="B13" s="254"/>
      <c r="C13" s="259"/>
      <c r="D13" s="260"/>
      <c r="E13" s="260"/>
      <c r="F13" s="260" t="s">
        <v>248</v>
      </c>
      <c r="G13" s="260"/>
      <c r="H13" s="260"/>
      <c r="I13" s="267" t="s">
        <v>249</v>
      </c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2"/>
      <c r="V13" s="258"/>
    </row>
    <row r="14" spans="1:256" ht="12.75" customHeight="1">
      <c r="A14"/>
      <c r="B14" s="268"/>
      <c r="C14" s="269"/>
      <c r="D14" s="11"/>
      <c r="E14" s="11"/>
      <c r="F14" s="11"/>
      <c r="G14" s="11"/>
      <c r="H14" s="11"/>
      <c r="I14" s="11" t="s">
        <v>250</v>
      </c>
      <c r="J14" s="11"/>
      <c r="K14" s="11"/>
      <c r="L14" s="11"/>
      <c r="M14" s="11"/>
      <c r="N14" s="11"/>
      <c r="O14" s="11"/>
      <c r="P14" s="11"/>
      <c r="Q14" s="11"/>
      <c r="R14" s="339"/>
      <c r="S14" s="340"/>
      <c r="T14" s="11"/>
      <c r="U14" s="271"/>
      <c r="V14" s="272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/>
      <c r="B15" s="268"/>
      <c r="C15" s="269"/>
      <c r="D15" s="11"/>
      <c r="E15" s="11"/>
      <c r="F15" s="11"/>
      <c r="G15" s="11"/>
      <c r="H15" s="11"/>
      <c r="I15" s="273" t="s">
        <v>251</v>
      </c>
      <c r="J15" s="11"/>
      <c r="K15" s="11"/>
      <c r="L15" s="11"/>
      <c r="M15" s="11"/>
      <c r="N15" s="11"/>
      <c r="O15" s="11"/>
      <c r="P15" s="11"/>
      <c r="Q15" s="11"/>
      <c r="R15" s="339"/>
      <c r="S15" s="340"/>
      <c r="T15" s="11"/>
      <c r="U15" s="271"/>
      <c r="V15" s="272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8.25" customHeight="1">
      <c r="A16"/>
      <c r="B16" s="268"/>
      <c r="C16" s="269"/>
      <c r="D16" s="11"/>
      <c r="E16" s="11"/>
      <c r="F16" s="273"/>
      <c r="G16" s="11"/>
      <c r="H16" s="11"/>
      <c r="I16" s="273"/>
      <c r="J16" s="11"/>
      <c r="K16" s="11"/>
      <c r="L16" s="11"/>
      <c r="M16" s="11"/>
      <c r="N16" s="11"/>
      <c r="O16" s="11"/>
      <c r="P16" s="11"/>
      <c r="Q16" s="11"/>
      <c r="R16" s="339"/>
      <c r="S16" s="340"/>
      <c r="T16" s="11"/>
      <c r="U16" s="271"/>
      <c r="V16" s="272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2" ht="11.25" customHeight="1">
      <c r="B17" s="254"/>
      <c r="C17" s="259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74"/>
      <c r="T17" s="260"/>
      <c r="U17" s="262"/>
      <c r="V17" s="258"/>
    </row>
    <row r="18" spans="2:22" ht="20.25" customHeight="1">
      <c r="B18" s="254"/>
      <c r="C18" s="259"/>
      <c r="D18" s="463" t="s">
        <v>291</v>
      </c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262"/>
      <c r="V18" s="258"/>
    </row>
    <row r="19" spans="2:22" ht="20.25">
      <c r="B19" s="254"/>
      <c r="C19" s="259"/>
      <c r="D19" s="260"/>
      <c r="E19" s="463" t="s">
        <v>292</v>
      </c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262"/>
      <c r="V19" s="258"/>
    </row>
    <row r="20" spans="2:22" ht="18" customHeight="1">
      <c r="B20" s="254"/>
      <c r="C20" s="259"/>
      <c r="D20" s="260"/>
      <c r="E20" s="260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60"/>
      <c r="U20" s="262"/>
      <c r="V20" s="258"/>
    </row>
    <row r="21" spans="2:22" ht="4.5" customHeight="1">
      <c r="B21" s="254"/>
      <c r="C21" s="259"/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8"/>
      <c r="U21" s="262"/>
      <c r="V21" s="258"/>
    </row>
    <row r="22" spans="2:22" s="279" customFormat="1" ht="21" customHeight="1">
      <c r="B22" s="280"/>
      <c r="C22" s="281"/>
      <c r="D22" s="282" t="s">
        <v>254</v>
      </c>
      <c r="E22" s="283"/>
      <c r="F22" s="283"/>
      <c r="G22" s="283"/>
      <c r="H22" s="283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5"/>
      <c r="U22" s="286"/>
      <c r="V22" s="287"/>
    </row>
    <row r="23" spans="2:22" s="279" customFormat="1" ht="4.5" customHeight="1">
      <c r="B23" s="280"/>
      <c r="C23" s="281"/>
      <c r="D23" s="288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90"/>
      <c r="U23" s="286"/>
      <c r="V23" s="287"/>
    </row>
    <row r="24" spans="2:22" ht="15.75" customHeight="1">
      <c r="B24" s="254"/>
      <c r="C24" s="259"/>
      <c r="D24" s="431" t="s">
        <v>255</v>
      </c>
      <c r="E24" s="431"/>
      <c r="F24" s="431"/>
      <c r="G24" s="431"/>
      <c r="H24" s="431"/>
      <c r="I24" s="431"/>
      <c r="J24" s="431"/>
      <c r="K24" s="431"/>
      <c r="L24" s="432"/>
      <c r="M24" s="432"/>
      <c r="N24" s="432"/>
      <c r="O24" s="432"/>
      <c r="P24" s="432"/>
      <c r="Q24" s="432"/>
      <c r="R24" s="432"/>
      <c r="S24" s="432"/>
      <c r="T24" s="432"/>
      <c r="U24" s="262"/>
      <c r="V24" s="258"/>
    </row>
    <row r="25" spans="2:22" ht="15.75" customHeight="1">
      <c r="B25" s="254"/>
      <c r="C25" s="259"/>
      <c r="D25" s="433" t="s">
        <v>256</v>
      </c>
      <c r="E25" s="433"/>
      <c r="F25" s="433"/>
      <c r="G25" s="433"/>
      <c r="H25" s="433"/>
      <c r="I25" s="433"/>
      <c r="J25" s="433"/>
      <c r="K25" s="433"/>
      <c r="L25" s="434"/>
      <c r="M25" s="434"/>
      <c r="N25" s="434"/>
      <c r="O25" s="434"/>
      <c r="P25" s="434"/>
      <c r="Q25" s="434"/>
      <c r="R25" s="434"/>
      <c r="S25" s="434"/>
      <c r="T25" s="434"/>
      <c r="U25" s="262"/>
      <c r="V25" s="258"/>
    </row>
    <row r="26" spans="2:22" ht="15.75" customHeight="1">
      <c r="B26" s="254"/>
      <c r="C26" s="259"/>
      <c r="D26" s="433" t="s">
        <v>257</v>
      </c>
      <c r="E26" s="433"/>
      <c r="F26" s="433"/>
      <c r="G26" s="433"/>
      <c r="H26" s="433"/>
      <c r="I26" s="433"/>
      <c r="J26" s="433"/>
      <c r="K26" s="433"/>
      <c r="L26" s="434"/>
      <c r="M26" s="434"/>
      <c r="N26" s="434"/>
      <c r="O26" s="434"/>
      <c r="P26" s="434"/>
      <c r="Q26" s="434"/>
      <c r="R26" s="434"/>
      <c r="S26" s="434"/>
      <c r="T26" s="434"/>
      <c r="U26" s="262"/>
      <c r="V26" s="258"/>
    </row>
    <row r="27" spans="2:22" ht="15.75" customHeight="1">
      <c r="B27" s="254"/>
      <c r="C27" s="259"/>
      <c r="D27" s="433" t="s">
        <v>258</v>
      </c>
      <c r="E27" s="433"/>
      <c r="F27" s="433"/>
      <c r="G27" s="433"/>
      <c r="H27" s="433"/>
      <c r="I27" s="433"/>
      <c r="J27" s="433"/>
      <c r="K27" s="433"/>
      <c r="L27" s="434"/>
      <c r="M27" s="434"/>
      <c r="N27" s="434"/>
      <c r="O27" s="434"/>
      <c r="P27" s="434"/>
      <c r="Q27" s="434"/>
      <c r="R27" s="434"/>
      <c r="S27" s="434"/>
      <c r="T27" s="434"/>
      <c r="U27" s="262"/>
      <c r="V27" s="258"/>
    </row>
    <row r="28" spans="2:22" ht="31.5" customHeight="1">
      <c r="B28" s="254"/>
      <c r="C28" s="259"/>
      <c r="D28" s="433" t="s">
        <v>259</v>
      </c>
      <c r="E28" s="433"/>
      <c r="F28" s="433"/>
      <c r="G28" s="433"/>
      <c r="H28" s="433"/>
      <c r="I28" s="433"/>
      <c r="J28" s="433"/>
      <c r="K28" s="433"/>
      <c r="L28" s="435"/>
      <c r="M28" s="435"/>
      <c r="N28" s="435"/>
      <c r="O28" s="435"/>
      <c r="P28" s="435"/>
      <c r="Q28" s="435"/>
      <c r="R28" s="435"/>
      <c r="S28" s="435"/>
      <c r="T28" s="435"/>
      <c r="U28" s="262"/>
      <c r="V28" s="258"/>
    </row>
    <row r="29" spans="2:22" ht="15.75" customHeight="1">
      <c r="B29" s="254"/>
      <c r="C29" s="259"/>
      <c r="D29" s="433" t="s">
        <v>260</v>
      </c>
      <c r="E29" s="433"/>
      <c r="F29" s="433"/>
      <c r="G29" s="433"/>
      <c r="H29" s="433"/>
      <c r="I29" s="433"/>
      <c r="J29" s="433"/>
      <c r="K29" s="433"/>
      <c r="L29" s="434"/>
      <c r="M29" s="434"/>
      <c r="N29" s="434"/>
      <c r="O29" s="434"/>
      <c r="P29" s="434"/>
      <c r="Q29" s="434"/>
      <c r="R29" s="434"/>
      <c r="S29" s="434"/>
      <c r="T29" s="434"/>
      <c r="U29" s="262"/>
      <c r="V29" s="258"/>
    </row>
    <row r="30" spans="2:22" ht="4.5" customHeight="1">
      <c r="B30" s="254"/>
      <c r="C30" s="259"/>
      <c r="D30" s="291"/>
      <c r="E30" s="292"/>
      <c r="F30" s="292"/>
      <c r="G30" s="292"/>
      <c r="H30" s="292"/>
      <c r="I30" s="292"/>
      <c r="J30" s="292"/>
      <c r="K30" s="292"/>
      <c r="L30" s="293"/>
      <c r="M30" s="294"/>
      <c r="N30" s="294"/>
      <c r="O30" s="294"/>
      <c r="P30" s="294"/>
      <c r="Q30" s="294"/>
      <c r="R30" s="294"/>
      <c r="S30" s="294"/>
      <c r="T30" s="295"/>
      <c r="U30" s="262"/>
      <c r="V30" s="258"/>
    </row>
    <row r="31" spans="2:22" ht="15.75" customHeight="1">
      <c r="B31" s="254"/>
      <c r="C31" s="259"/>
      <c r="D31" s="296"/>
      <c r="E31" s="296"/>
      <c r="F31" s="296"/>
      <c r="G31" s="296"/>
      <c r="H31" s="296"/>
      <c r="I31" s="296"/>
      <c r="J31" s="296"/>
      <c r="K31" s="296"/>
      <c r="L31" s="297"/>
      <c r="M31" s="298"/>
      <c r="N31" s="298"/>
      <c r="O31" s="298"/>
      <c r="P31" s="298"/>
      <c r="Q31" s="298"/>
      <c r="R31" s="298"/>
      <c r="S31" s="298"/>
      <c r="T31" s="298"/>
      <c r="U31" s="262"/>
      <c r="V31" s="258"/>
    </row>
    <row r="32" spans="2:22" ht="5.25" customHeight="1">
      <c r="B32" s="254"/>
      <c r="C32" s="259"/>
      <c r="D32" s="299"/>
      <c r="E32" s="300"/>
      <c r="F32" s="300"/>
      <c r="G32" s="300"/>
      <c r="H32" s="300"/>
      <c r="I32" s="300"/>
      <c r="J32" s="300"/>
      <c r="K32" s="300"/>
      <c r="L32" s="301"/>
      <c r="M32" s="302"/>
      <c r="N32" s="302"/>
      <c r="O32" s="302"/>
      <c r="P32" s="302"/>
      <c r="Q32" s="302"/>
      <c r="R32" s="302"/>
      <c r="S32" s="302"/>
      <c r="T32" s="303"/>
      <c r="U32" s="262"/>
      <c r="V32" s="258"/>
    </row>
    <row r="33" spans="2:22" s="304" customFormat="1" ht="21" customHeight="1">
      <c r="B33" s="305"/>
      <c r="C33" s="306"/>
      <c r="D33" s="282" t="s">
        <v>261</v>
      </c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307"/>
      <c r="U33" s="308"/>
      <c r="V33" s="309"/>
    </row>
    <row r="34" spans="2:22" s="310" customFormat="1" ht="4.5" customHeight="1">
      <c r="B34" s="311"/>
      <c r="C34" s="312"/>
      <c r="D34" s="288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90"/>
      <c r="U34" s="313"/>
      <c r="V34" s="314"/>
    </row>
    <row r="35" spans="2:22" s="279" customFormat="1" ht="15.75" customHeight="1">
      <c r="B35" s="280"/>
      <c r="C35" s="281"/>
      <c r="D35" s="431" t="s">
        <v>262</v>
      </c>
      <c r="E35" s="431"/>
      <c r="F35" s="431"/>
      <c r="G35" s="431"/>
      <c r="H35" s="431"/>
      <c r="I35" s="436">
        <f>SÖZLEŞME!Y7</f>
        <v>0</v>
      </c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286"/>
      <c r="V35" s="287"/>
    </row>
    <row r="36" spans="2:22" s="279" customFormat="1" ht="15.75" customHeight="1">
      <c r="B36" s="280"/>
      <c r="C36" s="281"/>
      <c r="D36" s="433" t="s">
        <v>263</v>
      </c>
      <c r="E36" s="433"/>
      <c r="F36" s="433"/>
      <c r="G36" s="433"/>
      <c r="H36" s="433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286"/>
      <c r="V36" s="287"/>
    </row>
    <row r="37" spans="2:22" s="279" customFormat="1" ht="15.75" customHeight="1">
      <c r="B37" s="280"/>
      <c r="C37" s="281"/>
      <c r="D37" s="433" t="s">
        <v>293</v>
      </c>
      <c r="E37" s="433"/>
      <c r="F37" s="433"/>
      <c r="G37" s="433"/>
      <c r="H37" s="433"/>
      <c r="I37" s="437">
        <f>SÖZLEŞME!Y8</f>
        <v>0</v>
      </c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286"/>
      <c r="V37" s="287"/>
    </row>
    <row r="38" spans="2:22" s="279" customFormat="1" ht="15.75" customHeight="1">
      <c r="B38" s="280"/>
      <c r="C38" s="281"/>
      <c r="D38" s="433" t="s">
        <v>294</v>
      </c>
      <c r="E38" s="433"/>
      <c r="F38" s="433"/>
      <c r="G38" s="433"/>
      <c r="H38" s="433"/>
      <c r="I38" s="437">
        <f>SÖZLEŞME!Y11</f>
        <v>0</v>
      </c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286"/>
      <c r="V38" s="287"/>
    </row>
    <row r="39" spans="2:22" s="279" customFormat="1" ht="15.75" customHeight="1">
      <c r="B39" s="280"/>
      <c r="C39" s="281"/>
      <c r="D39" s="438" t="s">
        <v>265</v>
      </c>
      <c r="E39" s="438"/>
      <c r="F39" s="438"/>
      <c r="G39" s="438"/>
      <c r="H39" s="438"/>
      <c r="I39" s="439">
        <f>SÖZLEŞME!Y10</f>
        <v>0</v>
      </c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286"/>
      <c r="V39" s="287"/>
    </row>
    <row r="40" spans="2:22" s="279" customFormat="1" ht="15.75" customHeight="1">
      <c r="B40" s="280"/>
      <c r="C40" s="281"/>
      <c r="D40" s="431" t="s">
        <v>266</v>
      </c>
      <c r="E40" s="431"/>
      <c r="F40" s="431"/>
      <c r="G40" s="431"/>
      <c r="H40" s="431"/>
      <c r="I40" s="436">
        <f>SÖZLEŞME!$B$17</f>
        <v>0</v>
      </c>
      <c r="J40" s="436"/>
      <c r="K40" s="436"/>
      <c r="L40" s="464" t="s">
        <v>295</v>
      </c>
      <c r="M40" s="464"/>
      <c r="N40" s="464"/>
      <c r="O40" s="464"/>
      <c r="P40" s="464"/>
      <c r="Q40" s="465"/>
      <c r="R40" s="465"/>
      <c r="S40" s="465"/>
      <c r="T40" s="465"/>
      <c r="U40" s="286"/>
      <c r="V40" s="287"/>
    </row>
    <row r="41" spans="2:22" s="279" customFormat="1" ht="15.75" customHeight="1">
      <c r="B41" s="280"/>
      <c r="C41" s="281"/>
      <c r="D41" s="433" t="s">
        <v>12</v>
      </c>
      <c r="E41" s="433"/>
      <c r="F41" s="433"/>
      <c r="G41" s="433"/>
      <c r="H41" s="433"/>
      <c r="I41" s="437">
        <f>SÖZLEŞME!$G$17</f>
        <v>0</v>
      </c>
      <c r="J41" s="437"/>
      <c r="K41" s="437"/>
      <c r="L41" s="466" t="s">
        <v>296</v>
      </c>
      <c r="M41" s="466"/>
      <c r="N41" s="466"/>
      <c r="O41" s="466"/>
      <c r="P41" s="466"/>
      <c r="Q41" s="467">
        <v>0</v>
      </c>
      <c r="R41" s="467"/>
      <c r="S41" s="467"/>
      <c r="T41" s="467"/>
      <c r="U41" s="286"/>
      <c r="V41" s="287"/>
    </row>
    <row r="42" spans="2:22" s="279" customFormat="1" ht="15.75" customHeight="1">
      <c r="B42" s="280"/>
      <c r="C42" s="281"/>
      <c r="D42" s="433" t="s">
        <v>270</v>
      </c>
      <c r="E42" s="433"/>
      <c r="F42" s="433"/>
      <c r="G42" s="433"/>
      <c r="H42" s="433"/>
      <c r="I42" s="437"/>
      <c r="J42" s="437"/>
      <c r="K42" s="437"/>
      <c r="L42" s="466" t="s">
        <v>297</v>
      </c>
      <c r="M42" s="466"/>
      <c r="N42" s="466"/>
      <c r="O42" s="466"/>
      <c r="P42" s="466"/>
      <c r="Q42" s="467">
        <v>0</v>
      </c>
      <c r="R42" s="467"/>
      <c r="S42" s="467"/>
      <c r="T42" s="467"/>
      <c r="U42" s="286"/>
      <c r="V42" s="287"/>
    </row>
    <row r="43" spans="2:22" s="279" customFormat="1" ht="15.75" customHeight="1">
      <c r="B43" s="280"/>
      <c r="C43" s="281"/>
      <c r="D43" s="433" t="s">
        <v>13</v>
      </c>
      <c r="E43" s="433"/>
      <c r="F43" s="433"/>
      <c r="G43" s="433"/>
      <c r="H43" s="433"/>
      <c r="I43" s="437">
        <f>SÖZLEŞME!$K$17</f>
        <v>0</v>
      </c>
      <c r="J43" s="437"/>
      <c r="K43" s="437"/>
      <c r="L43" s="466" t="s">
        <v>298</v>
      </c>
      <c r="M43" s="466"/>
      <c r="N43" s="466"/>
      <c r="O43" s="466"/>
      <c r="P43" s="466"/>
      <c r="Q43" s="467">
        <v>0</v>
      </c>
      <c r="R43" s="467"/>
      <c r="S43" s="467"/>
      <c r="T43" s="467"/>
      <c r="U43" s="286"/>
      <c r="V43" s="287"/>
    </row>
    <row r="44" spans="2:22" s="279" customFormat="1" ht="15.75" customHeight="1">
      <c r="B44" s="280"/>
      <c r="C44" s="281"/>
      <c r="D44" s="433" t="s">
        <v>271</v>
      </c>
      <c r="E44" s="433"/>
      <c r="F44" s="433"/>
      <c r="G44" s="433"/>
      <c r="H44" s="433"/>
      <c r="I44" s="434"/>
      <c r="J44" s="434"/>
      <c r="K44" s="434"/>
      <c r="L44" s="466" t="s">
        <v>299</v>
      </c>
      <c r="M44" s="466"/>
      <c r="N44" s="466"/>
      <c r="O44" s="466"/>
      <c r="P44" s="466"/>
      <c r="Q44" s="467">
        <v>0</v>
      </c>
      <c r="R44" s="467"/>
      <c r="S44" s="467"/>
      <c r="T44" s="467"/>
      <c r="U44" s="286"/>
      <c r="V44" s="287"/>
    </row>
    <row r="45" spans="2:22" s="279" customFormat="1" ht="15.75" customHeight="1">
      <c r="B45" s="280"/>
      <c r="C45" s="281"/>
      <c r="D45" s="433" t="s">
        <v>14</v>
      </c>
      <c r="E45" s="433"/>
      <c r="F45" s="433"/>
      <c r="G45" s="433"/>
      <c r="H45" s="433"/>
      <c r="I45" s="437">
        <f>SÖZLEŞME!$R$17</f>
        <v>0</v>
      </c>
      <c r="J45" s="437"/>
      <c r="K45" s="437"/>
      <c r="L45" s="466" t="s">
        <v>300</v>
      </c>
      <c r="M45" s="466"/>
      <c r="N45" s="466"/>
      <c r="O45" s="466"/>
      <c r="P45" s="466"/>
      <c r="Q45" s="467">
        <v>0</v>
      </c>
      <c r="R45" s="467"/>
      <c r="S45" s="467"/>
      <c r="T45" s="467"/>
      <c r="U45" s="286"/>
      <c r="V45" s="287"/>
    </row>
    <row r="46" spans="2:22" s="279" customFormat="1" ht="15.75" customHeight="1">
      <c r="B46" s="280"/>
      <c r="C46" s="281"/>
      <c r="D46" s="433" t="s">
        <v>15</v>
      </c>
      <c r="E46" s="433"/>
      <c r="F46" s="433"/>
      <c r="G46" s="433"/>
      <c r="H46" s="433"/>
      <c r="I46" s="449">
        <f>SÖZLEŞME!$AA$17</f>
        <v>0</v>
      </c>
      <c r="J46" s="449"/>
      <c r="K46" s="449"/>
      <c r="L46" s="466" t="s">
        <v>301</v>
      </c>
      <c r="M46" s="466"/>
      <c r="N46" s="466"/>
      <c r="O46" s="466"/>
      <c r="P46" s="466"/>
      <c r="Q46" s="467">
        <v>0</v>
      </c>
      <c r="R46" s="467"/>
      <c r="S46" s="467"/>
      <c r="T46" s="467"/>
      <c r="U46" s="286"/>
      <c r="V46" s="287"/>
    </row>
    <row r="47" spans="2:22" s="279" customFormat="1" ht="15.75" customHeight="1">
      <c r="B47" s="280"/>
      <c r="C47" s="281"/>
      <c r="D47" s="433" t="s">
        <v>16</v>
      </c>
      <c r="E47" s="433"/>
      <c r="F47" s="433"/>
      <c r="G47" s="433"/>
      <c r="H47" s="433"/>
      <c r="I47" s="437">
        <f>SÖZLEŞME!$AF$17</f>
        <v>0</v>
      </c>
      <c r="J47" s="437"/>
      <c r="K47" s="437"/>
      <c r="L47" s="466" t="s">
        <v>302</v>
      </c>
      <c r="M47" s="466"/>
      <c r="N47" s="466"/>
      <c r="O47" s="466"/>
      <c r="P47" s="466"/>
      <c r="Q47" s="467">
        <v>0</v>
      </c>
      <c r="R47" s="467"/>
      <c r="S47" s="467"/>
      <c r="T47" s="467"/>
      <c r="U47" s="286"/>
      <c r="V47" s="287"/>
    </row>
    <row r="48" spans="2:22" s="279" customFormat="1" ht="15.75" customHeight="1">
      <c r="B48" s="280"/>
      <c r="C48" s="281"/>
      <c r="D48" s="433" t="s">
        <v>17</v>
      </c>
      <c r="E48" s="433"/>
      <c r="F48" s="433"/>
      <c r="G48" s="433"/>
      <c r="H48" s="433"/>
      <c r="I48" s="449">
        <f>SÖZLEŞME!$AJ$17</f>
        <v>0</v>
      </c>
      <c r="J48" s="449"/>
      <c r="K48" s="449"/>
      <c r="L48" s="466" t="s">
        <v>303</v>
      </c>
      <c r="M48" s="466"/>
      <c r="N48" s="466"/>
      <c r="O48" s="466"/>
      <c r="P48" s="466"/>
      <c r="Q48" s="467">
        <v>0</v>
      </c>
      <c r="R48" s="467"/>
      <c r="S48" s="467"/>
      <c r="T48" s="467"/>
      <c r="U48" s="286"/>
      <c r="V48" s="287"/>
    </row>
    <row r="49" spans="2:22" s="279" customFormat="1" ht="15.75" customHeight="1">
      <c r="B49" s="280"/>
      <c r="C49" s="281"/>
      <c r="D49" s="433" t="s">
        <v>277</v>
      </c>
      <c r="E49" s="433"/>
      <c r="F49" s="433"/>
      <c r="G49" s="433"/>
      <c r="H49" s="433"/>
      <c r="I49" s="458" t="s">
        <v>304</v>
      </c>
      <c r="J49" s="458"/>
      <c r="K49" s="458"/>
      <c r="L49" s="466" t="s">
        <v>305</v>
      </c>
      <c r="M49" s="466"/>
      <c r="N49" s="466"/>
      <c r="O49" s="466"/>
      <c r="P49" s="466"/>
      <c r="Q49" s="467">
        <v>0</v>
      </c>
      <c r="R49" s="467"/>
      <c r="S49" s="467"/>
      <c r="T49" s="467"/>
      <c r="U49" s="286"/>
      <c r="V49" s="287"/>
    </row>
    <row r="50" spans="2:22" s="279" customFormat="1" ht="15.75" customHeight="1">
      <c r="B50" s="280"/>
      <c r="C50" s="281"/>
      <c r="D50" s="433" t="s">
        <v>306</v>
      </c>
      <c r="E50" s="433"/>
      <c r="F50" s="433"/>
      <c r="G50" s="433"/>
      <c r="H50" s="433"/>
      <c r="I50" s="437">
        <f>SÖZLEŞME!B26</f>
        <v>0</v>
      </c>
      <c r="J50" s="437"/>
      <c r="K50" s="437"/>
      <c r="L50" s="468"/>
      <c r="M50" s="468"/>
      <c r="N50" s="468"/>
      <c r="O50" s="468"/>
      <c r="P50" s="468"/>
      <c r="Q50" s="341"/>
      <c r="R50" s="341"/>
      <c r="S50" s="341"/>
      <c r="T50" s="342"/>
      <c r="U50" s="286"/>
      <c r="V50" s="287"/>
    </row>
    <row r="51" spans="2:22" s="279" customFormat="1" ht="4.5" customHeight="1">
      <c r="B51" s="280"/>
      <c r="C51" s="281"/>
      <c r="D51" s="315"/>
      <c r="E51" s="316"/>
      <c r="F51" s="292"/>
      <c r="G51" s="292"/>
      <c r="H51" s="292"/>
      <c r="I51" s="292"/>
      <c r="J51" s="292"/>
      <c r="K51" s="317"/>
      <c r="L51" s="318"/>
      <c r="M51" s="318"/>
      <c r="N51" s="318"/>
      <c r="O51" s="319"/>
      <c r="P51" s="319"/>
      <c r="Q51" s="319"/>
      <c r="R51" s="319"/>
      <c r="S51" s="319"/>
      <c r="T51" s="320"/>
      <c r="U51" s="286"/>
      <c r="V51" s="287"/>
    </row>
    <row r="52" spans="2:22" ht="12.75">
      <c r="B52" s="254"/>
      <c r="C52" s="259"/>
      <c r="D52" s="260"/>
      <c r="E52" s="260"/>
      <c r="F52" s="260"/>
      <c r="G52" s="260"/>
      <c r="H52" s="260"/>
      <c r="I52" s="260"/>
      <c r="J52" s="260"/>
      <c r="K52" s="260"/>
      <c r="L52" s="298"/>
      <c r="M52" s="298"/>
      <c r="N52" s="298"/>
      <c r="O52" s="298"/>
      <c r="P52" s="298"/>
      <c r="Q52" s="298"/>
      <c r="R52" s="298"/>
      <c r="S52" s="298"/>
      <c r="T52" s="298"/>
      <c r="U52" s="262"/>
      <c r="V52" s="258"/>
    </row>
    <row r="53" spans="2:22" ht="12.75">
      <c r="B53" s="254"/>
      <c r="C53" s="259"/>
      <c r="D53" s="260"/>
      <c r="E53" s="260"/>
      <c r="F53" s="260"/>
      <c r="G53" s="260"/>
      <c r="H53" s="260"/>
      <c r="I53" s="260"/>
      <c r="J53" s="260"/>
      <c r="K53" s="260"/>
      <c r="L53" s="298"/>
      <c r="M53" s="298"/>
      <c r="N53" s="298"/>
      <c r="O53" s="298"/>
      <c r="P53" s="298"/>
      <c r="Q53" s="298"/>
      <c r="R53" s="298"/>
      <c r="S53" s="298"/>
      <c r="T53" s="298"/>
      <c r="U53" s="262"/>
      <c r="V53" s="258"/>
    </row>
    <row r="54" spans="2:22" s="321" customFormat="1" ht="12.75">
      <c r="B54" s="322"/>
      <c r="C54" s="323"/>
      <c r="D54" s="324" t="s">
        <v>280</v>
      </c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6"/>
      <c r="V54" s="327"/>
    </row>
    <row r="55" spans="2:22" s="321" customFormat="1" ht="12.75">
      <c r="B55" s="322"/>
      <c r="C55" s="323"/>
      <c r="D55" s="324" t="s">
        <v>281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6"/>
      <c r="V55" s="327"/>
    </row>
    <row r="56" spans="2:22" s="321" customFormat="1" ht="12.75">
      <c r="B56" s="322"/>
      <c r="C56" s="323"/>
      <c r="D56" s="324" t="s">
        <v>282</v>
      </c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6"/>
      <c r="V56" s="327"/>
    </row>
    <row r="57" spans="2:22" s="321" customFormat="1" ht="12.75">
      <c r="B57" s="322"/>
      <c r="C57" s="323"/>
      <c r="D57" s="324" t="s">
        <v>283</v>
      </c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6"/>
      <c r="V57" s="327"/>
    </row>
    <row r="58" spans="2:22" s="321" customFormat="1" ht="12.75">
      <c r="B58" s="322"/>
      <c r="C58" s="323"/>
      <c r="D58" s="324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6"/>
      <c r="V58" s="327"/>
    </row>
    <row r="59" spans="2:22" s="321" customFormat="1" ht="12.75">
      <c r="B59" s="322"/>
      <c r="C59" s="323"/>
      <c r="D59" s="324" t="s">
        <v>307</v>
      </c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6"/>
      <c r="V59" s="327"/>
    </row>
    <row r="60" spans="2:22" s="321" customFormat="1" ht="12.75">
      <c r="B60" s="322"/>
      <c r="C60" s="323"/>
      <c r="D60" s="324" t="s">
        <v>285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6"/>
      <c r="V60" s="327"/>
    </row>
    <row r="61" spans="2:22" s="321" customFormat="1" ht="12.75">
      <c r="B61" s="322"/>
      <c r="C61" s="323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6"/>
      <c r="V61" s="327"/>
    </row>
    <row r="62" spans="2:22" s="321" customFormat="1" ht="12.75">
      <c r="B62" s="322"/>
      <c r="C62" s="323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6"/>
      <c r="V62" s="327"/>
    </row>
    <row r="63" spans="2:22" ht="12.75">
      <c r="B63" s="254"/>
      <c r="C63" s="259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260"/>
      <c r="U63" s="262"/>
      <c r="V63" s="258"/>
    </row>
    <row r="64" spans="2:22" ht="12.75">
      <c r="B64" s="254"/>
      <c r="C64" s="259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260"/>
      <c r="U64" s="262"/>
      <c r="V64" s="258"/>
    </row>
    <row r="65" spans="2:22" ht="12.75">
      <c r="B65" s="254"/>
      <c r="C65" s="259"/>
      <c r="D65" s="260"/>
      <c r="E65" s="260"/>
      <c r="F65" s="260"/>
      <c r="G65" s="260"/>
      <c r="H65" s="260"/>
      <c r="I65" s="260"/>
      <c r="J65" s="461" t="s">
        <v>286</v>
      </c>
      <c r="K65" s="461"/>
      <c r="L65" s="461"/>
      <c r="M65" s="461"/>
      <c r="N65" s="461"/>
      <c r="O65" s="265"/>
      <c r="P65" s="265"/>
      <c r="Q65" s="260"/>
      <c r="R65" s="260"/>
      <c r="S65" s="260"/>
      <c r="T65" s="260"/>
      <c r="U65" s="262"/>
      <c r="V65" s="258"/>
    </row>
    <row r="66" spans="2:22" ht="12.75">
      <c r="B66" s="254"/>
      <c r="C66" s="259"/>
      <c r="D66" s="260"/>
      <c r="E66" s="260"/>
      <c r="F66" s="260"/>
      <c r="G66" s="260"/>
      <c r="H66" s="260"/>
      <c r="I66" s="260"/>
      <c r="J66" s="462" t="s">
        <v>287</v>
      </c>
      <c r="K66" s="462"/>
      <c r="L66" s="462"/>
      <c r="M66" s="462"/>
      <c r="N66" s="462"/>
      <c r="O66" s="331"/>
      <c r="P66" s="331"/>
      <c r="Q66" s="260"/>
      <c r="R66" s="260"/>
      <c r="S66" s="260"/>
      <c r="T66" s="260"/>
      <c r="U66" s="262"/>
      <c r="V66" s="258"/>
    </row>
    <row r="67" spans="2:22" ht="12.75">
      <c r="B67" s="254"/>
      <c r="C67" s="259"/>
      <c r="D67" s="260"/>
      <c r="E67" s="260"/>
      <c r="F67" s="260"/>
      <c r="G67" s="260"/>
      <c r="H67" s="260"/>
      <c r="I67" s="260"/>
      <c r="J67" s="461" t="s">
        <v>100</v>
      </c>
      <c r="K67" s="461"/>
      <c r="L67" s="265"/>
      <c r="M67" s="265"/>
      <c r="N67" s="265"/>
      <c r="O67" s="265"/>
      <c r="P67" s="265"/>
      <c r="Q67" s="260"/>
      <c r="R67" s="260"/>
      <c r="S67" s="260"/>
      <c r="T67" s="260"/>
      <c r="U67" s="262"/>
      <c r="V67" s="258"/>
    </row>
    <row r="68" spans="2:22" ht="12.75">
      <c r="B68" s="254"/>
      <c r="C68" s="259"/>
      <c r="D68" s="260"/>
      <c r="E68" s="260"/>
      <c r="F68" s="260"/>
      <c r="G68" s="260"/>
      <c r="H68" s="260"/>
      <c r="I68" s="260"/>
      <c r="J68" s="461" t="s">
        <v>288</v>
      </c>
      <c r="K68" s="461"/>
      <c r="L68" s="265"/>
      <c r="M68" s="260"/>
      <c r="N68" s="260"/>
      <c r="O68" s="260"/>
      <c r="P68" s="260"/>
      <c r="Q68" s="260"/>
      <c r="R68" s="260"/>
      <c r="S68" s="260"/>
      <c r="T68" s="260"/>
      <c r="U68" s="262"/>
      <c r="V68" s="258"/>
    </row>
    <row r="69" spans="2:22" ht="12.75">
      <c r="B69" s="254"/>
      <c r="C69" s="259"/>
      <c r="D69" s="260"/>
      <c r="E69" s="260"/>
      <c r="F69" s="260"/>
      <c r="G69" s="260"/>
      <c r="H69" s="260"/>
      <c r="I69" s="260"/>
      <c r="J69" s="461" t="s">
        <v>289</v>
      </c>
      <c r="K69" s="461"/>
      <c r="L69" s="265"/>
      <c r="M69" s="260"/>
      <c r="N69" s="260"/>
      <c r="O69" s="260"/>
      <c r="P69" s="260"/>
      <c r="Q69" s="260"/>
      <c r="R69" s="260"/>
      <c r="S69" s="260"/>
      <c r="T69" s="260"/>
      <c r="U69" s="262"/>
      <c r="V69" s="258"/>
    </row>
    <row r="70" spans="2:22" ht="12.75">
      <c r="B70" s="254"/>
      <c r="C70" s="259"/>
      <c r="D70" s="260"/>
      <c r="E70" s="260"/>
      <c r="F70" s="260"/>
      <c r="G70" s="260"/>
      <c r="H70" s="260"/>
      <c r="I70" s="260"/>
      <c r="J70" s="329"/>
      <c r="K70" s="329"/>
      <c r="L70" s="329"/>
      <c r="M70" s="260"/>
      <c r="N70" s="260"/>
      <c r="O70" s="260"/>
      <c r="P70" s="260"/>
      <c r="Q70" s="260"/>
      <c r="R70" s="260"/>
      <c r="S70" s="260"/>
      <c r="T70" s="260"/>
      <c r="U70" s="262"/>
      <c r="V70" s="258"/>
    </row>
    <row r="71" spans="2:22" ht="12.75">
      <c r="B71" s="254"/>
      <c r="C71" s="259"/>
      <c r="D71" s="260"/>
      <c r="E71" s="260"/>
      <c r="F71" s="260"/>
      <c r="G71" s="260"/>
      <c r="H71" s="260"/>
      <c r="I71" s="260"/>
      <c r="J71" s="329"/>
      <c r="K71" s="329"/>
      <c r="L71" s="329"/>
      <c r="M71" s="260"/>
      <c r="N71" s="260"/>
      <c r="O71" s="260"/>
      <c r="P71" s="260"/>
      <c r="Q71" s="260"/>
      <c r="R71" s="260"/>
      <c r="S71" s="260"/>
      <c r="T71" s="260"/>
      <c r="U71" s="262"/>
      <c r="V71" s="258"/>
    </row>
    <row r="72" spans="2:22" ht="12.75">
      <c r="B72" s="254"/>
      <c r="C72" s="259"/>
      <c r="D72" s="260"/>
      <c r="E72" s="260"/>
      <c r="F72" s="260"/>
      <c r="G72" s="260"/>
      <c r="H72" s="329"/>
      <c r="I72" s="329"/>
      <c r="J72" s="329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2"/>
      <c r="V72" s="258"/>
    </row>
    <row r="73" spans="2:22" ht="12.75">
      <c r="B73" s="254"/>
      <c r="C73" s="259"/>
      <c r="D73" s="260"/>
      <c r="E73" s="260"/>
      <c r="F73" s="260"/>
      <c r="G73" s="329"/>
      <c r="H73" s="329"/>
      <c r="I73" s="329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2"/>
      <c r="V73" s="258"/>
    </row>
    <row r="74" spans="2:22" ht="12.75">
      <c r="B74" s="254"/>
      <c r="C74" s="259"/>
      <c r="D74" s="260"/>
      <c r="E74" s="260"/>
      <c r="F74" s="260"/>
      <c r="G74" s="329"/>
      <c r="H74" s="329"/>
      <c r="I74" s="329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2"/>
      <c r="V74" s="258"/>
    </row>
    <row r="75" spans="2:22" ht="12.75">
      <c r="B75" s="254"/>
      <c r="C75" s="332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4"/>
      <c r="V75" s="258"/>
    </row>
    <row r="76" spans="2:22" ht="7.5" customHeight="1">
      <c r="B76" s="335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7"/>
    </row>
    <row r="77" spans="3:19" ht="12.75"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</row>
  </sheetData>
  <mergeCells count="78">
    <mergeCell ref="J66:N66"/>
    <mergeCell ref="J67:K67"/>
    <mergeCell ref="J68:K68"/>
    <mergeCell ref="J69:K69"/>
    <mergeCell ref="D50:H50"/>
    <mergeCell ref="I50:K50"/>
    <mergeCell ref="L50:P50"/>
    <mergeCell ref="J65:N65"/>
    <mergeCell ref="D49:H49"/>
    <mergeCell ref="I49:K49"/>
    <mergeCell ref="L49:P49"/>
    <mergeCell ref="Q49:T49"/>
    <mergeCell ref="D48:H48"/>
    <mergeCell ref="I48:K48"/>
    <mergeCell ref="L48:P48"/>
    <mergeCell ref="Q48:T48"/>
    <mergeCell ref="D47:H47"/>
    <mergeCell ref="I47:K47"/>
    <mergeCell ref="L47:P47"/>
    <mergeCell ref="Q47:T47"/>
    <mergeCell ref="D46:H46"/>
    <mergeCell ref="I46:K46"/>
    <mergeCell ref="L46:P46"/>
    <mergeCell ref="Q46:T46"/>
    <mergeCell ref="D45:H45"/>
    <mergeCell ref="I45:K45"/>
    <mergeCell ref="L45:P45"/>
    <mergeCell ref="Q45:T45"/>
    <mergeCell ref="D44:H44"/>
    <mergeCell ref="I44:K44"/>
    <mergeCell ref="L44:P44"/>
    <mergeCell ref="Q44:T44"/>
    <mergeCell ref="D43:H43"/>
    <mergeCell ref="I43:K43"/>
    <mergeCell ref="L43:P43"/>
    <mergeCell ref="Q43:T43"/>
    <mergeCell ref="D42:H42"/>
    <mergeCell ref="I42:K42"/>
    <mergeCell ref="L42:P42"/>
    <mergeCell ref="Q42:T42"/>
    <mergeCell ref="D41:H41"/>
    <mergeCell ref="I41:K41"/>
    <mergeCell ref="L41:P41"/>
    <mergeCell ref="Q41:T41"/>
    <mergeCell ref="D40:H40"/>
    <mergeCell ref="I40:K40"/>
    <mergeCell ref="L40:P40"/>
    <mergeCell ref="Q40:T40"/>
    <mergeCell ref="D38:H38"/>
    <mergeCell ref="I38:T38"/>
    <mergeCell ref="D39:H39"/>
    <mergeCell ref="I39:T39"/>
    <mergeCell ref="D36:H36"/>
    <mergeCell ref="I36:T36"/>
    <mergeCell ref="D37:H37"/>
    <mergeCell ref="I37:T37"/>
    <mergeCell ref="D29:K29"/>
    <mergeCell ref="L29:T29"/>
    <mergeCell ref="D35:H35"/>
    <mergeCell ref="I35:T35"/>
    <mergeCell ref="D27:K27"/>
    <mergeCell ref="L27:T27"/>
    <mergeCell ref="D28:K28"/>
    <mergeCell ref="L28:T28"/>
    <mergeCell ref="D25:K25"/>
    <mergeCell ref="L25:T25"/>
    <mergeCell ref="D26:K26"/>
    <mergeCell ref="L26:T26"/>
    <mergeCell ref="I10:L11"/>
    <mergeCell ref="D18:T18"/>
    <mergeCell ref="E19:T19"/>
    <mergeCell ref="D24:K24"/>
    <mergeCell ref="L24:T24"/>
    <mergeCell ref="I6:J7"/>
    <mergeCell ref="P6:Q6"/>
    <mergeCell ref="P7:Q7"/>
    <mergeCell ref="I8:O9"/>
    <mergeCell ref="P8:Q8"/>
  </mergeCells>
  <printOptions/>
  <pageMargins left="0.5" right="0.1701388888888889" top="0.37986111111111115" bottom="0.3902777777777778" header="0.5118055555555556" footer="0.5118055555555556"/>
  <pageSetup cellComments="atEnd" fitToHeight="1" fitToWidth="1" horizontalDpi="300" verticalDpi="300" orientation="portrait" paperSize="9"/>
  <drawing r:id="rId4"/>
  <legacyDrawing r:id="rId3"/>
  <oleObjects>
    <oleObject progId="opendocument.WriterDocument.1" shapeId="40035028" r:id="rId1"/>
    <oleObject progId="opendocument.WriterDocument.1" shapeId="40221130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77"/>
  <sheetViews>
    <sheetView showZeros="0" workbookViewId="0" topLeftCell="A16">
      <selection activeCell="L29" sqref="L29"/>
    </sheetView>
  </sheetViews>
  <sheetFormatPr defaultColWidth="9.140625" defaultRowHeight="12.75"/>
  <cols>
    <col min="1" max="1" width="0.85546875" style="250" customWidth="1"/>
    <col min="2" max="3" width="1.28515625" style="250" customWidth="1"/>
    <col min="4" max="4" width="1.1484375" style="250" customWidth="1"/>
    <col min="5" max="5" width="2.421875" style="250" customWidth="1"/>
    <col min="6" max="6" width="6.140625" style="250" customWidth="1"/>
    <col min="7" max="7" width="5.57421875" style="250" customWidth="1"/>
    <col min="8" max="8" width="6.140625" style="250" customWidth="1"/>
    <col min="9" max="9" width="9.00390625" style="250" customWidth="1"/>
    <col min="10" max="10" width="13.7109375" style="250" customWidth="1"/>
    <col min="11" max="11" width="5.140625" style="250" customWidth="1"/>
    <col min="12" max="12" width="6.421875" style="250" customWidth="1"/>
    <col min="13" max="13" width="7.00390625" style="250" customWidth="1"/>
    <col min="14" max="14" width="8.00390625" style="250" customWidth="1"/>
    <col min="15" max="15" width="12.8515625" style="250" customWidth="1"/>
    <col min="16" max="16" width="13.421875" style="250" customWidth="1"/>
    <col min="17" max="17" width="6.140625" style="250" customWidth="1"/>
    <col min="18" max="18" width="6.28125" style="250" customWidth="1"/>
    <col min="19" max="19" width="6.57421875" style="250" customWidth="1"/>
    <col min="20" max="20" width="7.57421875" style="250" customWidth="1"/>
    <col min="21" max="21" width="0.85546875" style="250" customWidth="1"/>
    <col min="22" max="22" width="1.28515625" style="250" customWidth="1"/>
    <col min="23" max="16384" width="6.140625" style="250" customWidth="1"/>
  </cols>
  <sheetData>
    <row r="1" ht="7.5" customHeight="1"/>
    <row r="2" ht="4.5" customHeight="1"/>
    <row r="3" spans="2:22" ht="7.5" customHeight="1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2:22" ht="12.75">
      <c r="B4" s="254"/>
      <c r="C4" s="255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258"/>
    </row>
    <row r="5" spans="2:22" ht="15" customHeight="1">
      <c r="B5" s="254"/>
      <c r="C5" s="259"/>
      <c r="D5" s="260"/>
      <c r="E5" s="260"/>
      <c r="F5" s="260"/>
      <c r="G5" s="260"/>
      <c r="H5" s="260"/>
      <c r="I5" s="260"/>
      <c r="J5" s="260"/>
      <c r="K5" s="260"/>
      <c r="L5" s="338" t="s">
        <v>290</v>
      </c>
      <c r="M5" s="260"/>
      <c r="N5" s="260"/>
      <c r="O5" s="260"/>
      <c r="P5" s="260"/>
      <c r="Q5" s="260"/>
      <c r="R5" s="260"/>
      <c r="S5" s="260"/>
      <c r="T5" s="260"/>
      <c r="U5" s="262"/>
      <c r="V5" s="258"/>
    </row>
    <row r="6" spans="2:22" ht="15" customHeight="1">
      <c r="B6" s="254"/>
      <c r="C6" s="259"/>
      <c r="D6" s="260"/>
      <c r="E6" s="260"/>
      <c r="F6" s="260"/>
      <c r="G6" s="260"/>
      <c r="H6" s="260"/>
      <c r="I6" s="426" t="s">
        <v>242</v>
      </c>
      <c r="J6" s="426"/>
      <c r="K6" s="263"/>
      <c r="L6" s="264"/>
      <c r="M6" s="263"/>
      <c r="N6" s="265"/>
      <c r="O6" s="265"/>
      <c r="P6" s="427" t="s">
        <v>243</v>
      </c>
      <c r="Q6" s="427"/>
      <c r="R6" s="265"/>
      <c r="S6" s="260"/>
      <c r="T6" s="260"/>
      <c r="U6" s="262"/>
      <c r="V6" s="258"/>
    </row>
    <row r="7" spans="2:22" ht="15" customHeight="1">
      <c r="B7" s="254"/>
      <c r="C7" s="259"/>
      <c r="D7" s="260"/>
      <c r="E7" s="260"/>
      <c r="F7" s="260"/>
      <c r="G7" s="260"/>
      <c r="H7" s="260"/>
      <c r="I7" s="426"/>
      <c r="J7" s="426"/>
      <c r="K7" s="263"/>
      <c r="L7" s="263"/>
      <c r="M7" s="263"/>
      <c r="N7" s="265"/>
      <c r="O7" s="265"/>
      <c r="P7" s="427" t="s">
        <v>244</v>
      </c>
      <c r="Q7" s="427"/>
      <c r="R7" s="265"/>
      <c r="S7" s="260"/>
      <c r="T7" s="260"/>
      <c r="U7" s="262"/>
      <c r="V7" s="258"/>
    </row>
    <row r="8" spans="2:22" ht="12.75" customHeight="1">
      <c r="B8" s="254"/>
      <c r="C8" s="259"/>
      <c r="D8" s="260"/>
      <c r="E8" s="260"/>
      <c r="F8" s="260"/>
      <c r="G8" s="260"/>
      <c r="H8" s="260"/>
      <c r="I8" s="428" t="s">
        <v>245</v>
      </c>
      <c r="J8" s="428"/>
      <c r="K8" s="428"/>
      <c r="L8" s="428"/>
      <c r="M8" s="428"/>
      <c r="N8" s="428"/>
      <c r="O8" s="428"/>
      <c r="P8" s="427" t="s">
        <v>246</v>
      </c>
      <c r="Q8" s="427"/>
      <c r="R8" s="265"/>
      <c r="S8" s="260"/>
      <c r="T8" s="260"/>
      <c r="U8" s="262"/>
      <c r="V8" s="258"/>
    </row>
    <row r="9" spans="2:22" ht="10.5" customHeight="1">
      <c r="B9" s="254"/>
      <c r="C9" s="259"/>
      <c r="D9" s="260"/>
      <c r="E9" s="260"/>
      <c r="F9" s="260"/>
      <c r="G9" s="260"/>
      <c r="H9" s="260"/>
      <c r="I9" s="428"/>
      <c r="J9" s="428"/>
      <c r="K9" s="428"/>
      <c r="L9" s="428"/>
      <c r="M9" s="428"/>
      <c r="N9" s="428"/>
      <c r="O9" s="428"/>
      <c r="P9" s="260"/>
      <c r="Q9" s="260"/>
      <c r="R9" s="260"/>
      <c r="S9" s="260"/>
      <c r="T9" s="260"/>
      <c r="U9" s="262"/>
      <c r="V9" s="258"/>
    </row>
    <row r="10" spans="2:22" ht="10.5" customHeight="1">
      <c r="B10" s="254"/>
      <c r="C10" s="259"/>
      <c r="D10" s="260"/>
      <c r="E10" s="260"/>
      <c r="F10" s="260"/>
      <c r="G10" s="260"/>
      <c r="H10" s="260"/>
      <c r="I10" s="429" t="s">
        <v>247</v>
      </c>
      <c r="J10" s="429"/>
      <c r="K10" s="429"/>
      <c r="L10" s="429"/>
      <c r="M10" s="263"/>
      <c r="N10" s="266"/>
      <c r="O10" s="260"/>
      <c r="P10" s="260"/>
      <c r="Q10" s="260"/>
      <c r="R10" s="260"/>
      <c r="S10" s="260"/>
      <c r="T10" s="260"/>
      <c r="U10" s="262"/>
      <c r="V10" s="258"/>
    </row>
    <row r="11" spans="2:22" ht="10.5" customHeight="1">
      <c r="B11" s="254"/>
      <c r="C11" s="259"/>
      <c r="D11" s="260"/>
      <c r="E11" s="260"/>
      <c r="F11" s="260"/>
      <c r="G11" s="260"/>
      <c r="H11" s="260"/>
      <c r="I11" s="429"/>
      <c r="J11" s="429"/>
      <c r="K11" s="429"/>
      <c r="L11" s="429"/>
      <c r="M11" s="263"/>
      <c r="N11" s="266"/>
      <c r="O11" s="260"/>
      <c r="P11" s="260"/>
      <c r="Q11" s="260"/>
      <c r="R11" s="260"/>
      <c r="S11" s="260"/>
      <c r="T11" s="260"/>
      <c r="U11" s="262"/>
      <c r="V11" s="258"/>
    </row>
    <row r="12" spans="2:22" ht="10.5" customHeight="1">
      <c r="B12" s="254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2"/>
      <c r="V12" s="258"/>
    </row>
    <row r="13" spans="2:22" ht="12.75">
      <c r="B13" s="254"/>
      <c r="C13" s="259"/>
      <c r="D13" s="260"/>
      <c r="E13" s="260"/>
      <c r="F13" s="260" t="s">
        <v>248</v>
      </c>
      <c r="G13" s="260"/>
      <c r="H13" s="260"/>
      <c r="I13" s="267" t="s">
        <v>249</v>
      </c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2"/>
      <c r="V13" s="258"/>
    </row>
    <row r="14" spans="1:256" ht="12.75" customHeight="1">
      <c r="A14"/>
      <c r="B14" s="268"/>
      <c r="C14" s="269"/>
      <c r="D14" s="11"/>
      <c r="E14" s="11"/>
      <c r="F14" s="11"/>
      <c r="G14" s="11"/>
      <c r="H14" s="11"/>
      <c r="I14" s="11" t="s">
        <v>250</v>
      </c>
      <c r="J14" s="11"/>
      <c r="K14" s="11"/>
      <c r="L14" s="11"/>
      <c r="M14" s="11"/>
      <c r="N14" s="11"/>
      <c r="O14" s="11"/>
      <c r="P14" s="11"/>
      <c r="Q14" s="11"/>
      <c r="R14" s="339"/>
      <c r="S14" s="340"/>
      <c r="T14" s="11"/>
      <c r="U14" s="271"/>
      <c r="V14" s="272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/>
      <c r="B15" s="268"/>
      <c r="C15" s="269"/>
      <c r="D15" s="11"/>
      <c r="E15" s="11"/>
      <c r="F15" s="11"/>
      <c r="G15" s="11"/>
      <c r="H15" s="11"/>
      <c r="I15" s="273" t="s">
        <v>251</v>
      </c>
      <c r="J15" s="11"/>
      <c r="K15" s="11"/>
      <c r="L15" s="11"/>
      <c r="M15" s="11"/>
      <c r="N15" s="11"/>
      <c r="O15" s="11"/>
      <c r="P15" s="11"/>
      <c r="Q15" s="11"/>
      <c r="R15" s="339"/>
      <c r="S15" s="340"/>
      <c r="T15" s="11"/>
      <c r="U15" s="271"/>
      <c r="V15" s="272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" customHeight="1">
      <c r="A16"/>
      <c r="B16" s="268"/>
      <c r="C16" s="269"/>
      <c r="D16" s="11"/>
      <c r="E16" s="11"/>
      <c r="F16" s="273"/>
      <c r="G16" s="11"/>
      <c r="H16" s="11"/>
      <c r="I16" s="273"/>
      <c r="J16" s="11"/>
      <c r="K16" s="11"/>
      <c r="L16" s="11"/>
      <c r="M16" s="11"/>
      <c r="N16" s="11"/>
      <c r="O16" s="11"/>
      <c r="P16" s="11"/>
      <c r="Q16" s="11"/>
      <c r="R16" s="339"/>
      <c r="S16" s="340"/>
      <c r="T16" s="11"/>
      <c r="U16" s="271"/>
      <c r="V16" s="272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2" ht="11.25" customHeight="1">
      <c r="B17" s="254"/>
      <c r="C17" s="259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74"/>
      <c r="T17" s="260"/>
      <c r="U17" s="262"/>
      <c r="V17" s="258"/>
    </row>
    <row r="18" spans="2:22" ht="20.25" customHeight="1">
      <c r="B18" s="254"/>
      <c r="C18" s="259"/>
      <c r="D18" s="463" t="s">
        <v>252</v>
      </c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  <c r="T18" s="463"/>
      <c r="U18" s="262"/>
      <c r="V18" s="258"/>
    </row>
    <row r="19" spans="2:22" ht="20.25">
      <c r="B19" s="254"/>
      <c r="C19" s="259"/>
      <c r="D19" s="260"/>
      <c r="E19" s="463" t="s">
        <v>292</v>
      </c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262"/>
      <c r="V19" s="258"/>
    </row>
    <row r="20" spans="2:22" ht="18" customHeight="1">
      <c r="B20" s="254"/>
      <c r="C20" s="259"/>
      <c r="D20" s="260"/>
      <c r="E20" s="260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60"/>
      <c r="U20" s="262"/>
      <c r="V20" s="258"/>
    </row>
    <row r="21" spans="2:22" ht="4.5" customHeight="1">
      <c r="B21" s="254"/>
      <c r="C21" s="259"/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8"/>
      <c r="U21" s="262"/>
      <c r="V21" s="258"/>
    </row>
    <row r="22" spans="2:22" s="279" customFormat="1" ht="21" customHeight="1">
      <c r="B22" s="280"/>
      <c r="C22" s="281"/>
      <c r="D22" s="282" t="s">
        <v>254</v>
      </c>
      <c r="E22" s="283"/>
      <c r="F22" s="283"/>
      <c r="G22" s="283"/>
      <c r="H22" s="283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5"/>
      <c r="U22" s="286"/>
      <c r="V22" s="287"/>
    </row>
    <row r="23" spans="2:22" s="279" customFormat="1" ht="4.5" customHeight="1">
      <c r="B23" s="280"/>
      <c r="C23" s="281"/>
      <c r="D23" s="288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90"/>
      <c r="U23" s="286"/>
      <c r="V23" s="287"/>
    </row>
    <row r="24" spans="2:22" ht="15.75" customHeight="1">
      <c r="B24" s="254"/>
      <c r="C24" s="259"/>
      <c r="D24" s="431" t="s">
        <v>255</v>
      </c>
      <c r="E24" s="431"/>
      <c r="F24" s="431"/>
      <c r="G24" s="431"/>
      <c r="H24" s="431"/>
      <c r="I24" s="431"/>
      <c r="J24" s="431"/>
      <c r="K24" s="431"/>
      <c r="L24" s="432"/>
      <c r="M24" s="432"/>
      <c r="N24" s="432"/>
      <c r="O24" s="432"/>
      <c r="P24" s="432"/>
      <c r="Q24" s="432"/>
      <c r="R24" s="432"/>
      <c r="S24" s="432"/>
      <c r="T24" s="432"/>
      <c r="U24" s="262"/>
      <c r="V24" s="258"/>
    </row>
    <row r="25" spans="2:22" ht="15.75" customHeight="1">
      <c r="B25" s="254"/>
      <c r="C25" s="259"/>
      <c r="D25" s="433" t="s">
        <v>256</v>
      </c>
      <c r="E25" s="433"/>
      <c r="F25" s="433"/>
      <c r="G25" s="433"/>
      <c r="H25" s="433"/>
      <c r="I25" s="433"/>
      <c r="J25" s="433"/>
      <c r="K25" s="433"/>
      <c r="L25" s="434"/>
      <c r="M25" s="434"/>
      <c r="N25" s="434"/>
      <c r="O25" s="434"/>
      <c r="P25" s="434"/>
      <c r="Q25" s="434"/>
      <c r="R25" s="434"/>
      <c r="S25" s="434"/>
      <c r="T25" s="434"/>
      <c r="U25" s="262"/>
      <c r="V25" s="258"/>
    </row>
    <row r="26" spans="2:22" ht="15.75" customHeight="1">
      <c r="B26" s="254"/>
      <c r="C26" s="259"/>
      <c r="D26" s="433" t="s">
        <v>257</v>
      </c>
      <c r="E26" s="433"/>
      <c r="F26" s="433"/>
      <c r="G26" s="433"/>
      <c r="H26" s="433"/>
      <c r="I26" s="433"/>
      <c r="J26" s="433"/>
      <c r="K26" s="433"/>
      <c r="L26" s="434"/>
      <c r="M26" s="434"/>
      <c r="N26" s="434"/>
      <c r="O26" s="434"/>
      <c r="P26" s="434"/>
      <c r="Q26" s="434"/>
      <c r="R26" s="434"/>
      <c r="S26" s="434"/>
      <c r="T26" s="434"/>
      <c r="U26" s="262"/>
      <c r="V26" s="258"/>
    </row>
    <row r="27" spans="2:22" ht="15.75" customHeight="1">
      <c r="B27" s="254"/>
      <c r="C27" s="259"/>
      <c r="D27" s="433" t="s">
        <v>258</v>
      </c>
      <c r="E27" s="433"/>
      <c r="F27" s="433"/>
      <c r="G27" s="433"/>
      <c r="H27" s="433"/>
      <c r="I27" s="433"/>
      <c r="J27" s="433"/>
      <c r="K27" s="433"/>
      <c r="L27" s="434"/>
      <c r="M27" s="434"/>
      <c r="N27" s="434"/>
      <c r="O27" s="434"/>
      <c r="P27" s="434"/>
      <c r="Q27" s="434"/>
      <c r="R27" s="434"/>
      <c r="S27" s="434"/>
      <c r="T27" s="434"/>
      <c r="U27" s="262"/>
      <c r="V27" s="258"/>
    </row>
    <row r="28" spans="2:22" ht="31.5" customHeight="1">
      <c r="B28" s="254"/>
      <c r="C28" s="259"/>
      <c r="D28" s="433" t="s">
        <v>259</v>
      </c>
      <c r="E28" s="433"/>
      <c r="F28" s="433"/>
      <c r="G28" s="433"/>
      <c r="H28" s="433"/>
      <c r="I28" s="433"/>
      <c r="J28" s="433"/>
      <c r="K28" s="433"/>
      <c r="L28" s="435"/>
      <c r="M28" s="435"/>
      <c r="N28" s="435"/>
      <c r="O28" s="435"/>
      <c r="P28" s="435"/>
      <c r="Q28" s="435"/>
      <c r="R28" s="435"/>
      <c r="S28" s="435"/>
      <c r="T28" s="435"/>
      <c r="U28" s="262"/>
      <c r="V28" s="258"/>
    </row>
    <row r="29" spans="2:22" ht="15.75" customHeight="1">
      <c r="B29" s="254"/>
      <c r="C29" s="259"/>
      <c r="D29" s="433" t="s">
        <v>260</v>
      </c>
      <c r="E29" s="433"/>
      <c r="F29" s="433"/>
      <c r="G29" s="433"/>
      <c r="H29" s="433"/>
      <c r="I29" s="433"/>
      <c r="J29" s="433"/>
      <c r="K29" s="433"/>
      <c r="L29" s="434"/>
      <c r="M29" s="434"/>
      <c r="N29" s="434"/>
      <c r="O29" s="434"/>
      <c r="P29" s="434"/>
      <c r="Q29" s="434"/>
      <c r="R29" s="434"/>
      <c r="S29" s="434"/>
      <c r="T29" s="434"/>
      <c r="U29" s="262"/>
      <c r="V29" s="258"/>
    </row>
    <row r="30" spans="2:22" ht="4.5" customHeight="1">
      <c r="B30" s="254"/>
      <c r="C30" s="259"/>
      <c r="D30" s="291"/>
      <c r="E30" s="292"/>
      <c r="F30" s="292"/>
      <c r="G30" s="292"/>
      <c r="H30" s="292"/>
      <c r="I30" s="292"/>
      <c r="J30" s="292"/>
      <c r="K30" s="292"/>
      <c r="L30" s="293"/>
      <c r="M30" s="294"/>
      <c r="N30" s="294"/>
      <c r="O30" s="294"/>
      <c r="P30" s="294"/>
      <c r="Q30" s="294"/>
      <c r="R30" s="294"/>
      <c r="S30" s="294"/>
      <c r="T30" s="295"/>
      <c r="U30" s="262"/>
      <c r="V30" s="258"/>
    </row>
    <row r="31" spans="2:22" ht="15.75" customHeight="1">
      <c r="B31" s="254"/>
      <c r="C31" s="259"/>
      <c r="D31" s="296"/>
      <c r="E31" s="296"/>
      <c r="F31" s="296"/>
      <c r="G31" s="296"/>
      <c r="H31" s="296"/>
      <c r="I31" s="296"/>
      <c r="J31" s="296"/>
      <c r="K31" s="296"/>
      <c r="L31" s="297"/>
      <c r="M31" s="298"/>
      <c r="N31" s="298"/>
      <c r="O31" s="298"/>
      <c r="P31" s="298"/>
      <c r="Q31" s="298"/>
      <c r="R31" s="298"/>
      <c r="S31" s="298"/>
      <c r="T31" s="298"/>
      <c r="U31" s="262"/>
      <c r="V31" s="258"/>
    </row>
    <row r="32" spans="2:22" ht="5.25" customHeight="1">
      <c r="B32" s="254"/>
      <c r="C32" s="259"/>
      <c r="D32" s="299"/>
      <c r="E32" s="300"/>
      <c r="F32" s="300"/>
      <c r="G32" s="300"/>
      <c r="H32" s="300"/>
      <c r="I32" s="300"/>
      <c r="J32" s="300"/>
      <c r="K32" s="300"/>
      <c r="L32" s="301"/>
      <c r="M32" s="302"/>
      <c r="N32" s="302"/>
      <c r="O32" s="302"/>
      <c r="P32" s="302"/>
      <c r="Q32" s="302"/>
      <c r="R32" s="302"/>
      <c r="S32" s="302"/>
      <c r="T32" s="303"/>
      <c r="U32" s="262"/>
      <c r="V32" s="258"/>
    </row>
    <row r="33" spans="2:22" s="304" customFormat="1" ht="21" customHeight="1">
      <c r="B33" s="305"/>
      <c r="C33" s="306"/>
      <c r="D33" s="282" t="s">
        <v>261</v>
      </c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307"/>
      <c r="U33" s="308"/>
      <c r="V33" s="309"/>
    </row>
    <row r="34" spans="2:22" s="310" customFormat="1" ht="4.5" customHeight="1">
      <c r="B34" s="311"/>
      <c r="C34" s="312"/>
      <c r="D34" s="288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90"/>
      <c r="U34" s="313"/>
      <c r="V34" s="314"/>
    </row>
    <row r="35" spans="2:22" s="279" customFormat="1" ht="15.75" customHeight="1">
      <c r="B35" s="280"/>
      <c r="C35" s="281"/>
      <c r="D35" s="431" t="s">
        <v>262</v>
      </c>
      <c r="E35" s="431"/>
      <c r="F35" s="431"/>
      <c r="G35" s="431"/>
      <c r="H35" s="431"/>
      <c r="I35" s="436">
        <f>SÖZLEŞME!$Y$7</f>
        <v>0</v>
      </c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286"/>
      <c r="V35" s="287"/>
    </row>
    <row r="36" spans="2:22" s="279" customFormat="1" ht="15.75" customHeight="1">
      <c r="B36" s="280"/>
      <c r="C36" s="281"/>
      <c r="D36" s="433" t="s">
        <v>263</v>
      </c>
      <c r="E36" s="433"/>
      <c r="F36" s="433"/>
      <c r="G36" s="433"/>
      <c r="H36" s="433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286"/>
      <c r="V36" s="287"/>
    </row>
    <row r="37" spans="2:22" s="279" customFormat="1" ht="15.75" customHeight="1">
      <c r="B37" s="280"/>
      <c r="C37" s="281"/>
      <c r="D37" s="433" t="s">
        <v>264</v>
      </c>
      <c r="E37" s="433"/>
      <c r="F37" s="433"/>
      <c r="G37" s="433"/>
      <c r="H37" s="433"/>
      <c r="I37" s="437">
        <f>SÖZLEŞME!Y8</f>
        <v>0</v>
      </c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286"/>
      <c r="V37" s="287"/>
    </row>
    <row r="38" spans="2:22" s="279" customFormat="1" ht="15.75" customHeight="1">
      <c r="B38" s="280"/>
      <c r="C38" s="281"/>
      <c r="D38" s="438" t="s">
        <v>265</v>
      </c>
      <c r="E38" s="438"/>
      <c r="F38" s="438"/>
      <c r="G38" s="438"/>
      <c r="H38" s="438"/>
      <c r="I38" s="439">
        <f>SÖZLEŞME!Y10</f>
        <v>0</v>
      </c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286"/>
      <c r="V38" s="287"/>
    </row>
    <row r="39" spans="2:22" s="279" customFormat="1" ht="15.75" customHeight="1">
      <c r="B39" s="280"/>
      <c r="C39" s="281"/>
      <c r="D39" s="431" t="s">
        <v>266</v>
      </c>
      <c r="E39" s="431"/>
      <c r="F39" s="431"/>
      <c r="G39" s="431"/>
      <c r="H39" s="431"/>
      <c r="I39" s="436">
        <f>SÖZLEŞME!$B$17</f>
        <v>0</v>
      </c>
      <c r="J39" s="436"/>
      <c r="K39" s="436"/>
      <c r="L39" s="440" t="s">
        <v>267</v>
      </c>
      <c r="M39" s="440"/>
      <c r="N39" s="441" t="s">
        <v>268</v>
      </c>
      <c r="O39" s="441"/>
      <c r="P39" s="441"/>
      <c r="Q39" s="441" t="s">
        <v>269</v>
      </c>
      <c r="R39" s="441"/>
      <c r="S39" s="442" t="s">
        <v>76</v>
      </c>
      <c r="T39" s="442"/>
      <c r="U39" s="286"/>
      <c r="V39" s="287"/>
    </row>
    <row r="40" spans="2:22" s="279" customFormat="1" ht="15.75" customHeight="1">
      <c r="B40" s="280"/>
      <c r="C40" s="281"/>
      <c r="D40" s="433" t="s">
        <v>12</v>
      </c>
      <c r="E40" s="433"/>
      <c r="F40" s="433"/>
      <c r="G40" s="433"/>
      <c r="H40" s="433"/>
      <c r="I40" s="437">
        <f>SÖZLEŞME!$G$17</f>
        <v>0</v>
      </c>
      <c r="J40" s="437"/>
      <c r="K40" s="437"/>
      <c r="L40" s="443">
        <f>SÖZLEŞME!G26</f>
        <v>1</v>
      </c>
      <c r="M40" s="443"/>
      <c r="N40" s="444">
        <f>SÖZLEŞME!$B$26</f>
        <v>0</v>
      </c>
      <c r="O40" s="444"/>
      <c r="P40" s="444"/>
      <c r="Q40" s="444">
        <f>SÖZLEŞME!M26</f>
        <v>1</v>
      </c>
      <c r="R40" s="444"/>
      <c r="S40" s="445">
        <f>'ASGARİ ÜCRET FORMU'!$F$21</f>
        <v>360</v>
      </c>
      <c r="T40" s="445"/>
      <c r="U40" s="286"/>
      <c r="V40" s="287"/>
    </row>
    <row r="41" spans="2:22" s="279" customFormat="1" ht="15.75" customHeight="1">
      <c r="B41" s="280"/>
      <c r="C41" s="281"/>
      <c r="D41" s="433" t="s">
        <v>270</v>
      </c>
      <c r="E41" s="433"/>
      <c r="F41" s="433"/>
      <c r="G41" s="433"/>
      <c r="H41" s="433"/>
      <c r="I41" s="437">
        <f>SÖZLEŞME!$K$17</f>
        <v>0</v>
      </c>
      <c r="J41" s="437"/>
      <c r="K41" s="437"/>
      <c r="L41" s="446"/>
      <c r="M41" s="446"/>
      <c r="N41" s="447"/>
      <c r="O41" s="447"/>
      <c r="P41" s="447"/>
      <c r="Q41" s="447"/>
      <c r="R41" s="447"/>
      <c r="S41" s="448"/>
      <c r="T41" s="448"/>
      <c r="U41" s="286"/>
      <c r="V41" s="287"/>
    </row>
    <row r="42" spans="2:22" s="279" customFormat="1" ht="15.75" customHeight="1">
      <c r="B42" s="280"/>
      <c r="C42" s="281"/>
      <c r="D42" s="433" t="s">
        <v>13</v>
      </c>
      <c r="E42" s="433"/>
      <c r="F42" s="433"/>
      <c r="G42" s="433"/>
      <c r="H42" s="433"/>
      <c r="L42" s="446"/>
      <c r="M42" s="446"/>
      <c r="N42" s="447"/>
      <c r="O42" s="447"/>
      <c r="P42" s="447"/>
      <c r="Q42" s="447"/>
      <c r="R42" s="447"/>
      <c r="S42" s="448"/>
      <c r="T42" s="448"/>
      <c r="U42" s="286"/>
      <c r="V42" s="287"/>
    </row>
    <row r="43" spans="2:22" s="279" customFormat="1" ht="15.75" customHeight="1">
      <c r="B43" s="280"/>
      <c r="C43" s="281"/>
      <c r="D43" s="433" t="s">
        <v>271</v>
      </c>
      <c r="E43" s="433"/>
      <c r="F43" s="433"/>
      <c r="G43" s="433"/>
      <c r="H43" s="433"/>
      <c r="I43" s="434"/>
      <c r="J43" s="434"/>
      <c r="K43" s="434"/>
      <c r="L43" s="446"/>
      <c r="M43" s="446"/>
      <c r="N43" s="447"/>
      <c r="O43" s="447"/>
      <c r="P43" s="447"/>
      <c r="Q43" s="447"/>
      <c r="R43" s="447"/>
      <c r="S43" s="448"/>
      <c r="T43" s="448"/>
      <c r="U43" s="286"/>
      <c r="V43" s="287"/>
    </row>
    <row r="44" spans="2:22" s="279" customFormat="1" ht="15.75" customHeight="1">
      <c r="B44" s="280"/>
      <c r="C44" s="281"/>
      <c r="D44" s="433" t="s">
        <v>14</v>
      </c>
      <c r="E44" s="433"/>
      <c r="F44" s="433"/>
      <c r="G44" s="433"/>
      <c r="H44" s="433"/>
      <c r="I44" s="437">
        <f>SÖZLEŞME!$R$17</f>
        <v>0</v>
      </c>
      <c r="J44" s="437"/>
      <c r="K44" s="437"/>
      <c r="L44" s="446"/>
      <c r="M44" s="446"/>
      <c r="N44" s="447"/>
      <c r="O44" s="447"/>
      <c r="P44" s="447"/>
      <c r="Q44" s="447"/>
      <c r="R44" s="447"/>
      <c r="S44" s="448"/>
      <c r="T44" s="448"/>
      <c r="U44" s="286"/>
      <c r="V44" s="287"/>
    </row>
    <row r="45" spans="2:22" s="279" customFormat="1" ht="15.75" customHeight="1">
      <c r="B45" s="280"/>
      <c r="C45" s="281"/>
      <c r="D45" s="433" t="s">
        <v>15</v>
      </c>
      <c r="E45" s="433"/>
      <c r="F45" s="433"/>
      <c r="G45" s="433"/>
      <c r="H45" s="433"/>
      <c r="I45" s="449">
        <f>SÖZLEŞME!$AA$17</f>
        <v>0</v>
      </c>
      <c r="J45" s="449"/>
      <c r="K45" s="449"/>
      <c r="L45" s="450"/>
      <c r="M45" s="450"/>
      <c r="N45" s="451"/>
      <c r="O45" s="451"/>
      <c r="P45" s="451"/>
      <c r="Q45" s="447"/>
      <c r="R45" s="447"/>
      <c r="S45" s="448"/>
      <c r="T45" s="448"/>
      <c r="U45" s="286"/>
      <c r="V45" s="287"/>
    </row>
    <row r="46" spans="2:22" s="279" customFormat="1" ht="15.75" customHeight="1">
      <c r="B46" s="280"/>
      <c r="C46" s="281"/>
      <c r="D46" s="433" t="s">
        <v>16</v>
      </c>
      <c r="E46" s="433"/>
      <c r="F46" s="433"/>
      <c r="G46" s="433"/>
      <c r="H46" s="433"/>
      <c r="I46" s="437">
        <f>SÖZLEŞME!$AF$17</f>
        <v>0</v>
      </c>
      <c r="J46" s="437"/>
      <c r="K46" s="437"/>
      <c r="L46" s="452" t="s">
        <v>272</v>
      </c>
      <c r="M46" s="452"/>
      <c r="N46" s="452"/>
      <c r="O46" s="453">
        <f>'ASGARİ ÜCRET FORMU'!$F$22</f>
        <v>2</v>
      </c>
      <c r="P46" s="453"/>
      <c r="Q46" s="454" t="s">
        <v>273</v>
      </c>
      <c r="R46" s="454"/>
      <c r="S46" s="448">
        <f>SUM(S40:S45)</f>
        <v>360</v>
      </c>
      <c r="T46" s="448"/>
      <c r="U46" s="286"/>
      <c r="V46" s="287"/>
    </row>
    <row r="47" spans="2:22" s="279" customFormat="1" ht="15.75" customHeight="1">
      <c r="B47" s="280"/>
      <c r="C47" s="281"/>
      <c r="D47" s="433" t="s">
        <v>17</v>
      </c>
      <c r="E47" s="433"/>
      <c r="F47" s="433"/>
      <c r="G47" s="433"/>
      <c r="H47" s="433"/>
      <c r="I47" s="449">
        <f>SÖZLEŞME!$AJ$17</f>
        <v>0</v>
      </c>
      <c r="J47" s="449"/>
      <c r="K47" s="449"/>
      <c r="L47" s="454" t="s">
        <v>274</v>
      </c>
      <c r="M47" s="454"/>
      <c r="N47" s="454"/>
      <c r="O47" s="455" t="str">
        <f>IF(O46&lt;3,"SOBALI",IF(O46="3A","KAT KALORİFERLİ",IF(O46="3B","MERKEZİ KALORİFERLİ",0)))</f>
        <v>SOBALI</v>
      </c>
      <c r="P47" s="455"/>
      <c r="Q47" s="456" t="s">
        <v>275</v>
      </c>
      <c r="R47" s="456"/>
      <c r="S47" s="457" t="s">
        <v>276</v>
      </c>
      <c r="T47" s="457"/>
      <c r="U47" s="286"/>
      <c r="V47" s="287"/>
    </row>
    <row r="48" spans="2:22" s="279" customFormat="1" ht="49.5" customHeight="1">
      <c r="B48" s="280"/>
      <c r="C48" s="281"/>
      <c r="D48" s="433" t="s">
        <v>277</v>
      </c>
      <c r="E48" s="433"/>
      <c r="F48" s="433"/>
      <c r="G48" s="433"/>
      <c r="H48" s="433"/>
      <c r="I48" s="458" t="str">
        <f>IF(O46&lt;3,"ISI YALITIM   ve                   SIHHİ TESİSATI","ISI YALITIM,                            SIHHİ TESİSATI  ve                   KALORİFER TESİSATI ")</f>
        <v>ISI YALITIM   ve                   SIHHİ TESİSATI</v>
      </c>
      <c r="J48" s="458"/>
      <c r="K48" s="458"/>
      <c r="L48" s="459" t="s">
        <v>278</v>
      </c>
      <c r="M48" s="459"/>
      <c r="N48" s="459"/>
      <c r="O48" s="460"/>
      <c r="P48" s="460"/>
      <c r="Q48" s="460"/>
      <c r="R48" s="460"/>
      <c r="S48" s="460"/>
      <c r="T48" s="460"/>
      <c r="U48" s="286"/>
      <c r="V48" s="287"/>
    </row>
    <row r="49" spans="2:22" s="279" customFormat="1" ht="15.75" customHeight="1">
      <c r="B49" s="280"/>
      <c r="C49" s="281"/>
      <c r="D49" s="433" t="s">
        <v>279</v>
      </c>
      <c r="E49" s="433"/>
      <c r="F49" s="433"/>
      <c r="G49" s="433"/>
      <c r="H49" s="433"/>
      <c r="I49" s="437">
        <f>SÖZLEŞME!$B$26</f>
        <v>0</v>
      </c>
      <c r="J49" s="437"/>
      <c r="K49" s="437"/>
      <c r="L49" s="459"/>
      <c r="M49" s="459"/>
      <c r="N49" s="459"/>
      <c r="O49" s="460"/>
      <c r="P49" s="460"/>
      <c r="Q49" s="460"/>
      <c r="R49" s="460"/>
      <c r="S49" s="460"/>
      <c r="T49" s="460"/>
      <c r="U49" s="286"/>
      <c r="V49" s="287"/>
    </row>
    <row r="50" spans="2:22" s="279" customFormat="1" ht="4.5" customHeight="1">
      <c r="B50" s="280"/>
      <c r="C50" s="281"/>
      <c r="D50" s="315"/>
      <c r="E50" s="316"/>
      <c r="F50" s="292"/>
      <c r="G50" s="292"/>
      <c r="H50" s="292"/>
      <c r="I50" s="292"/>
      <c r="J50" s="292"/>
      <c r="K50" s="317"/>
      <c r="L50" s="318"/>
      <c r="M50" s="318"/>
      <c r="N50" s="318"/>
      <c r="O50" s="319"/>
      <c r="P50" s="319"/>
      <c r="Q50" s="319"/>
      <c r="R50" s="319"/>
      <c r="S50" s="319"/>
      <c r="T50" s="320"/>
      <c r="U50" s="286"/>
      <c r="V50" s="287"/>
    </row>
    <row r="51" spans="2:22" ht="12.75">
      <c r="B51" s="254"/>
      <c r="C51" s="259"/>
      <c r="D51" s="260"/>
      <c r="E51" s="260"/>
      <c r="F51" s="260"/>
      <c r="G51" s="260"/>
      <c r="H51" s="260"/>
      <c r="I51" s="260"/>
      <c r="J51" s="260"/>
      <c r="K51" s="260"/>
      <c r="L51" s="298"/>
      <c r="M51" s="298"/>
      <c r="N51" s="298"/>
      <c r="O51" s="298"/>
      <c r="P51" s="298"/>
      <c r="Q51" s="298"/>
      <c r="R51" s="298"/>
      <c r="S51" s="298"/>
      <c r="T51" s="298"/>
      <c r="U51" s="262"/>
      <c r="V51" s="258"/>
    </row>
    <row r="52" spans="2:22" ht="12.75">
      <c r="B52" s="254"/>
      <c r="C52" s="259"/>
      <c r="D52" s="260"/>
      <c r="E52" s="260"/>
      <c r="F52" s="260"/>
      <c r="G52" s="260"/>
      <c r="H52" s="260"/>
      <c r="I52" s="260"/>
      <c r="J52" s="260"/>
      <c r="K52" s="260"/>
      <c r="L52" s="298"/>
      <c r="M52" s="298"/>
      <c r="N52" s="298"/>
      <c r="O52" s="298"/>
      <c r="P52" s="298"/>
      <c r="Q52" s="298"/>
      <c r="R52" s="298"/>
      <c r="S52" s="298"/>
      <c r="T52" s="298"/>
      <c r="U52" s="262"/>
      <c r="V52" s="258"/>
    </row>
    <row r="53" spans="2:22" s="321" customFormat="1" ht="12.75">
      <c r="B53" s="322"/>
      <c r="C53" s="323"/>
      <c r="D53" s="324" t="s">
        <v>280</v>
      </c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6"/>
      <c r="V53" s="327"/>
    </row>
    <row r="54" spans="2:22" s="321" customFormat="1" ht="12.75">
      <c r="B54" s="322"/>
      <c r="C54" s="323"/>
      <c r="D54" s="324" t="s">
        <v>281</v>
      </c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6"/>
      <c r="V54" s="327"/>
    </row>
    <row r="55" spans="2:22" s="321" customFormat="1" ht="12.75">
      <c r="B55" s="322"/>
      <c r="C55" s="323"/>
      <c r="D55" s="324" t="s">
        <v>282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6"/>
      <c r="V55" s="327"/>
    </row>
    <row r="56" spans="2:22" s="321" customFormat="1" ht="12.75">
      <c r="B56" s="322"/>
      <c r="C56" s="323"/>
      <c r="D56" s="324" t="s">
        <v>283</v>
      </c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6"/>
      <c r="V56" s="327"/>
    </row>
    <row r="57" spans="2:22" s="321" customFormat="1" ht="12.75">
      <c r="B57" s="322"/>
      <c r="C57" s="323"/>
      <c r="D57" s="324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6"/>
      <c r="V57" s="327"/>
    </row>
    <row r="58" spans="2:22" s="321" customFormat="1" ht="12.75">
      <c r="B58" s="322"/>
      <c r="C58" s="323"/>
      <c r="D58" s="324" t="s">
        <v>307</v>
      </c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6"/>
      <c r="V58" s="327"/>
    </row>
    <row r="59" spans="2:22" s="321" customFormat="1" ht="12.75">
      <c r="B59" s="322"/>
      <c r="C59" s="323"/>
      <c r="D59" s="324" t="s">
        <v>285</v>
      </c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6"/>
      <c r="V59" s="327"/>
    </row>
    <row r="60" spans="2:22" s="321" customFormat="1" ht="12.75">
      <c r="B60" s="322"/>
      <c r="C60" s="323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6"/>
      <c r="V60" s="327"/>
    </row>
    <row r="61" spans="2:22" ht="12.75">
      <c r="B61" s="254"/>
      <c r="C61" s="259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260"/>
      <c r="U61" s="262"/>
      <c r="V61" s="258"/>
    </row>
    <row r="62" spans="2:22" ht="12.75">
      <c r="B62" s="254"/>
      <c r="C62" s="259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260"/>
      <c r="U62" s="262"/>
      <c r="V62" s="258"/>
    </row>
    <row r="63" spans="2:22" ht="12.75">
      <c r="B63" s="254"/>
      <c r="C63" s="259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260"/>
      <c r="U63" s="262"/>
      <c r="V63" s="258"/>
    </row>
    <row r="64" spans="2:22" ht="12.75">
      <c r="B64" s="254"/>
      <c r="C64" s="259"/>
      <c r="D64" s="260"/>
      <c r="E64" s="260"/>
      <c r="F64" s="260"/>
      <c r="G64" s="260"/>
      <c r="H64" s="260"/>
      <c r="I64" s="260"/>
      <c r="J64" s="461" t="s">
        <v>286</v>
      </c>
      <c r="K64" s="461"/>
      <c r="L64" s="461"/>
      <c r="M64" s="461"/>
      <c r="N64" s="461"/>
      <c r="O64" s="461"/>
      <c r="P64" s="265"/>
      <c r="Q64" s="260"/>
      <c r="R64" s="260"/>
      <c r="S64" s="260"/>
      <c r="T64" s="260"/>
      <c r="U64" s="262"/>
      <c r="V64" s="258"/>
    </row>
    <row r="65" spans="2:22" ht="12.75">
      <c r="B65" s="254"/>
      <c r="C65" s="259"/>
      <c r="D65" s="260"/>
      <c r="E65" s="260"/>
      <c r="F65" s="260"/>
      <c r="G65" s="260"/>
      <c r="H65" s="260"/>
      <c r="I65" s="260"/>
      <c r="J65" s="462" t="s">
        <v>287</v>
      </c>
      <c r="K65" s="462"/>
      <c r="L65" s="462"/>
      <c r="M65" s="462"/>
      <c r="N65" s="462"/>
      <c r="O65" s="462"/>
      <c r="P65" s="331"/>
      <c r="Q65" s="260"/>
      <c r="R65" s="260"/>
      <c r="S65" s="260"/>
      <c r="T65" s="260"/>
      <c r="U65" s="262"/>
      <c r="V65" s="258"/>
    </row>
    <row r="66" spans="2:22" ht="12.75">
      <c r="B66" s="254"/>
      <c r="C66" s="259"/>
      <c r="D66" s="260"/>
      <c r="E66" s="260"/>
      <c r="F66" s="260"/>
      <c r="G66" s="260"/>
      <c r="H66" s="260"/>
      <c r="I66" s="260"/>
      <c r="J66" s="461" t="s">
        <v>100</v>
      </c>
      <c r="K66" s="461"/>
      <c r="L66" s="461"/>
      <c r="M66" s="265"/>
      <c r="N66" s="265"/>
      <c r="O66" s="265"/>
      <c r="P66" s="265"/>
      <c r="Q66" s="260"/>
      <c r="R66" s="260"/>
      <c r="S66" s="260"/>
      <c r="T66" s="260"/>
      <c r="U66" s="262"/>
      <c r="V66" s="258"/>
    </row>
    <row r="67" spans="2:22" ht="12.75">
      <c r="B67" s="254"/>
      <c r="C67" s="259"/>
      <c r="D67" s="260"/>
      <c r="E67" s="260"/>
      <c r="F67" s="260"/>
      <c r="G67" s="260"/>
      <c r="H67" s="260"/>
      <c r="I67" s="260"/>
      <c r="J67" s="461" t="s">
        <v>288</v>
      </c>
      <c r="K67" s="461"/>
      <c r="L67" s="461"/>
      <c r="M67" s="260"/>
      <c r="N67" s="260"/>
      <c r="O67" s="260"/>
      <c r="P67" s="260"/>
      <c r="Q67" s="260"/>
      <c r="R67" s="260"/>
      <c r="S67" s="260"/>
      <c r="T67" s="260"/>
      <c r="U67" s="262"/>
      <c r="V67" s="258"/>
    </row>
    <row r="68" spans="2:22" ht="12.75">
      <c r="B68" s="254"/>
      <c r="C68" s="259"/>
      <c r="D68" s="260"/>
      <c r="E68" s="260"/>
      <c r="F68" s="260"/>
      <c r="G68" s="260"/>
      <c r="H68" s="260"/>
      <c r="I68" s="260"/>
      <c r="J68" s="461" t="s">
        <v>289</v>
      </c>
      <c r="K68" s="461"/>
      <c r="L68" s="461"/>
      <c r="M68" s="260"/>
      <c r="N68" s="260"/>
      <c r="O68" s="260"/>
      <c r="P68" s="260"/>
      <c r="Q68" s="260"/>
      <c r="R68" s="260"/>
      <c r="S68" s="260"/>
      <c r="T68" s="260"/>
      <c r="U68" s="262"/>
      <c r="V68" s="258"/>
    </row>
    <row r="69" spans="2:22" ht="12.75">
      <c r="B69" s="254"/>
      <c r="C69" s="259"/>
      <c r="D69" s="260"/>
      <c r="E69" s="260"/>
      <c r="F69" s="260"/>
      <c r="G69" s="260"/>
      <c r="H69" s="260"/>
      <c r="I69" s="260"/>
      <c r="J69" s="329"/>
      <c r="K69" s="329"/>
      <c r="L69" s="329"/>
      <c r="M69" s="260"/>
      <c r="N69" s="260"/>
      <c r="O69" s="260"/>
      <c r="P69" s="260"/>
      <c r="Q69" s="260"/>
      <c r="R69" s="260"/>
      <c r="S69" s="260"/>
      <c r="T69" s="260"/>
      <c r="U69" s="262"/>
      <c r="V69" s="258"/>
    </row>
    <row r="70" spans="2:22" ht="12.75">
      <c r="B70" s="254"/>
      <c r="C70" s="259"/>
      <c r="D70" s="260"/>
      <c r="E70" s="260"/>
      <c r="F70" s="260"/>
      <c r="G70" s="260"/>
      <c r="H70" s="260"/>
      <c r="I70" s="260"/>
      <c r="J70" s="329"/>
      <c r="K70" s="329"/>
      <c r="L70" s="329"/>
      <c r="M70" s="260"/>
      <c r="N70" s="260"/>
      <c r="O70" s="260"/>
      <c r="P70" s="260"/>
      <c r="Q70" s="260"/>
      <c r="R70" s="260"/>
      <c r="S70" s="260"/>
      <c r="T70" s="260"/>
      <c r="U70" s="262"/>
      <c r="V70" s="258"/>
    </row>
    <row r="71" spans="2:22" ht="12.75">
      <c r="B71" s="254"/>
      <c r="C71" s="259"/>
      <c r="D71" s="260"/>
      <c r="E71" s="260"/>
      <c r="F71" s="260"/>
      <c r="G71" s="260"/>
      <c r="H71" s="260"/>
      <c r="I71" s="260"/>
      <c r="J71" s="329"/>
      <c r="K71" s="329"/>
      <c r="L71" s="329"/>
      <c r="M71" s="260"/>
      <c r="N71" s="260"/>
      <c r="O71" s="260"/>
      <c r="P71" s="260"/>
      <c r="Q71" s="260"/>
      <c r="R71" s="260"/>
      <c r="S71" s="260"/>
      <c r="T71" s="260"/>
      <c r="U71" s="262"/>
      <c r="V71" s="258"/>
    </row>
    <row r="72" spans="2:22" ht="12.75">
      <c r="B72" s="254"/>
      <c r="C72" s="259"/>
      <c r="D72" s="260"/>
      <c r="E72" s="260"/>
      <c r="F72" s="260"/>
      <c r="G72" s="260"/>
      <c r="H72" s="329"/>
      <c r="I72" s="329"/>
      <c r="J72" s="329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2"/>
      <c r="V72" s="258"/>
    </row>
    <row r="73" spans="2:22" ht="12.75">
      <c r="B73" s="254"/>
      <c r="C73" s="259"/>
      <c r="D73" s="260"/>
      <c r="E73" s="260"/>
      <c r="F73" s="260"/>
      <c r="G73" s="329"/>
      <c r="H73" s="329"/>
      <c r="I73" s="329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2"/>
      <c r="V73" s="258"/>
    </row>
    <row r="74" spans="2:22" ht="12.75">
      <c r="B74" s="254"/>
      <c r="C74" s="259"/>
      <c r="D74" s="260"/>
      <c r="E74" s="260"/>
      <c r="F74" s="260"/>
      <c r="G74" s="329"/>
      <c r="H74" s="329"/>
      <c r="I74" s="329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2"/>
      <c r="V74" s="258"/>
    </row>
    <row r="75" spans="2:22" ht="12.75">
      <c r="B75" s="254"/>
      <c r="C75" s="332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4"/>
      <c r="V75" s="258"/>
    </row>
    <row r="76" spans="2:22" ht="7.5" customHeight="1">
      <c r="B76" s="335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7"/>
    </row>
    <row r="77" spans="3:19" ht="12.75"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</row>
  </sheetData>
  <mergeCells count="92">
    <mergeCell ref="J68:L68"/>
    <mergeCell ref="J64:O64"/>
    <mergeCell ref="J65:O65"/>
    <mergeCell ref="J66:L66"/>
    <mergeCell ref="J67:L67"/>
    <mergeCell ref="D48:H48"/>
    <mergeCell ref="I48:K48"/>
    <mergeCell ref="L48:N49"/>
    <mergeCell ref="O48:T49"/>
    <mergeCell ref="D49:H49"/>
    <mergeCell ref="I49:K49"/>
    <mergeCell ref="Q46:R46"/>
    <mergeCell ref="S46:T46"/>
    <mergeCell ref="D47:H47"/>
    <mergeCell ref="I47:K47"/>
    <mergeCell ref="L47:N47"/>
    <mergeCell ref="O47:P47"/>
    <mergeCell ref="Q47:R47"/>
    <mergeCell ref="S47:T47"/>
    <mergeCell ref="D46:H46"/>
    <mergeCell ref="I46:K46"/>
    <mergeCell ref="L46:N46"/>
    <mergeCell ref="O46:P46"/>
    <mergeCell ref="Q44:R44"/>
    <mergeCell ref="S44:T44"/>
    <mergeCell ref="D45:H45"/>
    <mergeCell ref="I45:K45"/>
    <mergeCell ref="L45:M45"/>
    <mergeCell ref="N45:P45"/>
    <mergeCell ref="Q45:R45"/>
    <mergeCell ref="S45:T45"/>
    <mergeCell ref="D44:H44"/>
    <mergeCell ref="I44:K44"/>
    <mergeCell ref="L44:M44"/>
    <mergeCell ref="N44:P44"/>
    <mergeCell ref="S42:T42"/>
    <mergeCell ref="D43:H43"/>
    <mergeCell ref="I43:K43"/>
    <mergeCell ref="L43:M43"/>
    <mergeCell ref="N43:P43"/>
    <mergeCell ref="Q43:R43"/>
    <mergeCell ref="S43:T43"/>
    <mergeCell ref="D42:H42"/>
    <mergeCell ref="L42:M42"/>
    <mergeCell ref="N42:P42"/>
    <mergeCell ref="Q42:R42"/>
    <mergeCell ref="Q40:R40"/>
    <mergeCell ref="S40:T40"/>
    <mergeCell ref="D41:H41"/>
    <mergeCell ref="I41:K41"/>
    <mergeCell ref="L41:M41"/>
    <mergeCell ref="N41:P41"/>
    <mergeCell ref="Q41:R41"/>
    <mergeCell ref="S41:T41"/>
    <mergeCell ref="D40:H40"/>
    <mergeCell ref="I40:K40"/>
    <mergeCell ref="L40:M40"/>
    <mergeCell ref="N40:P40"/>
    <mergeCell ref="D38:H38"/>
    <mergeCell ref="I38:T38"/>
    <mergeCell ref="D39:H39"/>
    <mergeCell ref="I39:K39"/>
    <mergeCell ref="L39:M39"/>
    <mergeCell ref="N39:P39"/>
    <mergeCell ref="Q39:R39"/>
    <mergeCell ref="S39:T39"/>
    <mergeCell ref="D36:H36"/>
    <mergeCell ref="I36:T36"/>
    <mergeCell ref="D37:H37"/>
    <mergeCell ref="I37:T37"/>
    <mergeCell ref="D29:K29"/>
    <mergeCell ref="L29:T29"/>
    <mergeCell ref="D35:H35"/>
    <mergeCell ref="I35:T35"/>
    <mergeCell ref="D27:K27"/>
    <mergeCell ref="L27:T27"/>
    <mergeCell ref="D28:K28"/>
    <mergeCell ref="L28:T28"/>
    <mergeCell ref="D25:K25"/>
    <mergeCell ref="L25:T25"/>
    <mergeCell ref="D26:K26"/>
    <mergeCell ref="L26:T26"/>
    <mergeCell ref="I10:L11"/>
    <mergeCell ref="D18:T18"/>
    <mergeCell ref="E19:T19"/>
    <mergeCell ref="D24:K24"/>
    <mergeCell ref="L24:T24"/>
    <mergeCell ref="I6:J7"/>
    <mergeCell ref="P6:Q6"/>
    <mergeCell ref="P7:Q7"/>
    <mergeCell ref="I8:O9"/>
    <mergeCell ref="P8:Q8"/>
  </mergeCells>
  <dataValidations count="1">
    <dataValidation type="list" operator="equal" allowBlank="1" showInputMessage="1" showErrorMessage="1" prompt="Yakıt Cinsini Listeden  Seçiniz" error="Yakıt Cinsini Listeden Seçiniz ?" sqref="S47:T47">
      <formula1>"Katı yakıt,Fuel-oil,Doğalgaz,LPG,Elektrik,Güneş,Termal,Rüzgar"</formula1>
    </dataValidation>
  </dataValidations>
  <printOptions/>
  <pageMargins left="0.5" right="0.1701388888888889" top="0.37986111111111115" bottom="0.3902777777777778" header="0.5118055555555556" footer="0.5118055555555556"/>
  <pageSetup cellComments="atEnd" fitToHeight="1" fitToWidth="1" horizontalDpi="300" verticalDpi="300" orientation="portrait" paperSize="9"/>
  <drawing r:id="rId3"/>
  <legacyDrawing r:id="rId2"/>
  <oleObjects>
    <oleObject progId="opendocument.WriterDocument.1" shapeId="40220754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77"/>
  <sheetViews>
    <sheetView showZeros="0" workbookViewId="0" topLeftCell="A28">
      <selection activeCell="I39" sqref="I39"/>
    </sheetView>
  </sheetViews>
  <sheetFormatPr defaultColWidth="9.140625" defaultRowHeight="12.75"/>
  <cols>
    <col min="1" max="1" width="0.85546875" style="250" customWidth="1"/>
    <col min="2" max="3" width="1.28515625" style="250" customWidth="1"/>
    <col min="4" max="4" width="1.1484375" style="250" customWidth="1"/>
    <col min="5" max="5" width="2.421875" style="250" customWidth="1"/>
    <col min="6" max="6" width="6.140625" style="250" customWidth="1"/>
    <col min="7" max="7" width="5.57421875" style="250" customWidth="1"/>
    <col min="8" max="8" width="6.140625" style="250" customWidth="1"/>
    <col min="9" max="9" width="9.00390625" style="250" customWidth="1"/>
    <col min="10" max="10" width="13.7109375" style="250" customWidth="1"/>
    <col min="11" max="11" width="5.140625" style="250" customWidth="1"/>
    <col min="12" max="12" width="6.421875" style="250" customWidth="1"/>
    <col min="13" max="13" width="7.00390625" style="250" customWidth="1"/>
    <col min="14" max="14" width="8.00390625" style="250" customWidth="1"/>
    <col min="15" max="15" width="12.8515625" style="250" customWidth="1"/>
    <col min="16" max="16" width="13.421875" style="250" customWidth="1"/>
    <col min="17" max="17" width="6.140625" style="250" customWidth="1"/>
    <col min="18" max="18" width="6.28125" style="250" customWidth="1"/>
    <col min="19" max="19" width="6.57421875" style="250" customWidth="1"/>
    <col min="20" max="20" width="7.57421875" style="250" customWidth="1"/>
    <col min="21" max="21" width="0.85546875" style="250" customWidth="1"/>
    <col min="22" max="22" width="1.28515625" style="250" customWidth="1"/>
    <col min="23" max="16384" width="6.140625" style="250" customWidth="1"/>
  </cols>
  <sheetData>
    <row r="1" ht="7.5" customHeight="1"/>
    <row r="2" ht="4.5" customHeight="1"/>
    <row r="3" spans="2:22" ht="7.5" customHeight="1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2:22" ht="12.75">
      <c r="B4" s="254"/>
      <c r="C4" s="255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258"/>
    </row>
    <row r="5" spans="2:22" ht="15" customHeight="1">
      <c r="B5" s="254"/>
      <c r="C5" s="259"/>
      <c r="D5" s="260"/>
      <c r="E5" s="260"/>
      <c r="F5" s="260"/>
      <c r="G5" s="260"/>
      <c r="H5" s="260"/>
      <c r="I5" s="260"/>
      <c r="J5" s="260"/>
      <c r="K5" s="260"/>
      <c r="L5" s="338" t="s">
        <v>308</v>
      </c>
      <c r="M5" s="260"/>
      <c r="N5" s="260"/>
      <c r="O5" s="260"/>
      <c r="P5" s="260"/>
      <c r="Q5" s="260"/>
      <c r="R5" s="260"/>
      <c r="S5" s="260"/>
      <c r="T5" s="260"/>
      <c r="U5" s="262"/>
      <c r="V5" s="258"/>
    </row>
    <row r="6" spans="2:22" ht="14.25">
      <c r="B6" s="254"/>
      <c r="C6" s="259"/>
      <c r="D6" s="260"/>
      <c r="E6" s="260"/>
      <c r="F6" s="260"/>
      <c r="G6" s="260"/>
      <c r="H6" s="260"/>
      <c r="I6" s="426" t="s">
        <v>242</v>
      </c>
      <c r="J6" s="426"/>
      <c r="K6" s="263"/>
      <c r="L6" s="264"/>
      <c r="M6" s="263"/>
      <c r="N6" s="265"/>
      <c r="O6" s="265"/>
      <c r="P6" s="427" t="s">
        <v>243</v>
      </c>
      <c r="Q6" s="427"/>
      <c r="R6" s="265"/>
      <c r="S6" s="260"/>
      <c r="T6" s="260"/>
      <c r="U6" s="262"/>
      <c r="V6" s="258"/>
    </row>
    <row r="7" spans="2:22" ht="14.25">
      <c r="B7" s="254"/>
      <c r="C7" s="259"/>
      <c r="D7" s="260"/>
      <c r="E7" s="260"/>
      <c r="F7" s="260"/>
      <c r="G7" s="260"/>
      <c r="H7" s="260"/>
      <c r="I7" s="426"/>
      <c r="J7" s="426"/>
      <c r="K7" s="263"/>
      <c r="L7" s="263"/>
      <c r="M7" s="263"/>
      <c r="N7" s="265"/>
      <c r="O7" s="265"/>
      <c r="P7" s="427" t="s">
        <v>244</v>
      </c>
      <c r="Q7" s="427"/>
      <c r="R7" s="265"/>
      <c r="S7" s="260"/>
      <c r="T7" s="260"/>
      <c r="U7" s="262"/>
      <c r="V7" s="258"/>
    </row>
    <row r="8" spans="2:22" ht="12.75" customHeight="1">
      <c r="B8" s="254"/>
      <c r="C8" s="259"/>
      <c r="D8" s="260"/>
      <c r="E8" s="260"/>
      <c r="F8" s="260"/>
      <c r="G8" s="260"/>
      <c r="H8" s="260"/>
      <c r="I8" s="428" t="s">
        <v>245</v>
      </c>
      <c r="J8" s="428"/>
      <c r="K8" s="428"/>
      <c r="L8" s="428"/>
      <c r="M8" s="428"/>
      <c r="N8" s="428"/>
      <c r="O8" s="428"/>
      <c r="P8" s="427" t="s">
        <v>246</v>
      </c>
      <c r="Q8" s="427"/>
      <c r="R8" s="265"/>
      <c r="S8" s="260"/>
      <c r="T8" s="260"/>
      <c r="U8" s="262"/>
      <c r="V8" s="258"/>
    </row>
    <row r="9" spans="2:22" ht="10.5" customHeight="1">
      <c r="B9" s="254"/>
      <c r="C9" s="259"/>
      <c r="D9" s="260"/>
      <c r="E9" s="260"/>
      <c r="F9" s="260"/>
      <c r="G9" s="260"/>
      <c r="H9" s="260"/>
      <c r="I9" s="428"/>
      <c r="J9" s="428"/>
      <c r="K9" s="428"/>
      <c r="L9" s="428"/>
      <c r="M9" s="428"/>
      <c r="N9" s="428"/>
      <c r="O9" s="428"/>
      <c r="P9" s="260"/>
      <c r="Q9" s="260"/>
      <c r="R9" s="260"/>
      <c r="S9" s="260"/>
      <c r="T9" s="260"/>
      <c r="U9" s="262"/>
      <c r="V9" s="258"/>
    </row>
    <row r="10" spans="2:22" ht="10.5" customHeight="1">
      <c r="B10" s="254"/>
      <c r="C10" s="259"/>
      <c r="D10" s="260"/>
      <c r="E10" s="260"/>
      <c r="F10" s="260"/>
      <c r="G10" s="260"/>
      <c r="H10" s="260"/>
      <c r="I10" s="429" t="s">
        <v>247</v>
      </c>
      <c r="J10" s="429"/>
      <c r="K10" s="429"/>
      <c r="L10" s="429"/>
      <c r="M10" s="263"/>
      <c r="N10" s="266"/>
      <c r="O10" s="260"/>
      <c r="P10" s="260"/>
      <c r="Q10" s="260"/>
      <c r="R10" s="260"/>
      <c r="S10" s="260"/>
      <c r="T10" s="260"/>
      <c r="U10" s="262"/>
      <c r="V10" s="258"/>
    </row>
    <row r="11" spans="2:22" ht="10.5" customHeight="1">
      <c r="B11" s="254"/>
      <c r="C11" s="259"/>
      <c r="D11" s="260"/>
      <c r="E11" s="260"/>
      <c r="F11" s="260"/>
      <c r="G11" s="260"/>
      <c r="H11" s="260"/>
      <c r="I11" s="429"/>
      <c r="J11" s="429"/>
      <c r="K11" s="429"/>
      <c r="L11" s="429"/>
      <c r="M11" s="263"/>
      <c r="N11" s="266"/>
      <c r="O11" s="260"/>
      <c r="P11" s="260"/>
      <c r="Q11" s="260"/>
      <c r="R11" s="260"/>
      <c r="S11" s="260"/>
      <c r="T11" s="260"/>
      <c r="U11" s="262"/>
      <c r="V11" s="258"/>
    </row>
    <row r="12" spans="2:22" ht="10.5" customHeight="1">
      <c r="B12" s="254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2"/>
      <c r="V12" s="258"/>
    </row>
    <row r="13" spans="2:22" ht="12.75">
      <c r="B13" s="254"/>
      <c r="C13" s="259"/>
      <c r="D13" s="260"/>
      <c r="E13" s="260"/>
      <c r="F13" s="260" t="s">
        <v>248</v>
      </c>
      <c r="G13" s="260"/>
      <c r="H13" s="260"/>
      <c r="I13" s="267" t="s">
        <v>249</v>
      </c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2"/>
      <c r="V13" s="258"/>
    </row>
    <row r="14" spans="1:256" ht="12.75" customHeight="1">
      <c r="A14"/>
      <c r="B14" s="268"/>
      <c r="C14" s="269"/>
      <c r="D14" s="11"/>
      <c r="E14" s="11"/>
      <c r="F14" s="11"/>
      <c r="G14" s="11"/>
      <c r="H14" s="11"/>
      <c r="I14" s="11" t="s">
        <v>250</v>
      </c>
      <c r="J14" s="11"/>
      <c r="K14" s="11"/>
      <c r="L14" s="11"/>
      <c r="M14" s="11"/>
      <c r="N14" s="11"/>
      <c r="O14" s="11"/>
      <c r="P14" s="11"/>
      <c r="Q14" s="11"/>
      <c r="R14" s="11"/>
      <c r="S14" s="339"/>
      <c r="T14" s="340"/>
      <c r="U14" s="271"/>
      <c r="V14" s="272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/>
      <c r="B15" s="268"/>
      <c r="C15" s="269"/>
      <c r="D15" s="11"/>
      <c r="E15" s="11"/>
      <c r="F15" s="11"/>
      <c r="G15" s="11"/>
      <c r="H15" s="11"/>
      <c r="I15" s="273" t="s">
        <v>251</v>
      </c>
      <c r="J15" s="11"/>
      <c r="K15" s="11"/>
      <c r="L15" s="11"/>
      <c r="M15" s="11"/>
      <c r="N15" s="11"/>
      <c r="O15" s="11"/>
      <c r="P15" s="11"/>
      <c r="Q15" s="11"/>
      <c r="R15" s="11"/>
      <c r="S15" s="339"/>
      <c r="T15" s="340"/>
      <c r="U15" s="271"/>
      <c r="V15" s="272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8.25" customHeight="1">
      <c r="A16"/>
      <c r="B16" s="268"/>
      <c r="C16" s="269"/>
      <c r="D16" s="11"/>
      <c r="E16" s="11"/>
      <c r="F16" s="273"/>
      <c r="G16" s="11"/>
      <c r="H16" s="11"/>
      <c r="I16" s="273"/>
      <c r="J16" s="11"/>
      <c r="K16" s="11"/>
      <c r="L16" s="11"/>
      <c r="M16" s="11"/>
      <c r="N16" s="11"/>
      <c r="O16" s="11"/>
      <c r="P16" s="11"/>
      <c r="Q16" s="11"/>
      <c r="R16" s="11"/>
      <c r="S16" s="339"/>
      <c r="T16" s="340"/>
      <c r="U16" s="271"/>
      <c r="V16" s="272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2" ht="11.25" customHeight="1">
      <c r="B17" s="254"/>
      <c r="C17" s="259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74"/>
      <c r="U17" s="262"/>
      <c r="V17" s="258"/>
    </row>
    <row r="18" spans="2:22" ht="20.25" customHeight="1">
      <c r="B18" s="254"/>
      <c r="C18" s="259"/>
      <c r="D18" s="430" t="s">
        <v>309</v>
      </c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262"/>
      <c r="V18" s="258"/>
    </row>
    <row r="19" spans="2:22" ht="23.25">
      <c r="B19" s="254"/>
      <c r="C19" s="259"/>
      <c r="D19" s="260"/>
      <c r="E19" s="430" t="s">
        <v>292</v>
      </c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262"/>
      <c r="V19" s="258"/>
    </row>
    <row r="20" spans="2:22" ht="18" customHeight="1">
      <c r="B20" s="254"/>
      <c r="C20" s="259"/>
      <c r="D20" s="260"/>
      <c r="E20" s="260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60"/>
      <c r="U20" s="262"/>
      <c r="V20" s="258"/>
    </row>
    <row r="21" spans="2:22" ht="4.5" customHeight="1">
      <c r="B21" s="254"/>
      <c r="C21" s="259"/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8"/>
      <c r="U21" s="262"/>
      <c r="V21" s="258"/>
    </row>
    <row r="22" spans="2:22" s="279" customFormat="1" ht="21" customHeight="1">
      <c r="B22" s="280"/>
      <c r="C22" s="281"/>
      <c r="D22" s="282" t="s">
        <v>310</v>
      </c>
      <c r="E22" s="283"/>
      <c r="F22" s="283"/>
      <c r="G22" s="283"/>
      <c r="H22" s="283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5"/>
      <c r="U22" s="286"/>
      <c r="V22" s="287"/>
    </row>
    <row r="23" spans="2:22" s="279" customFormat="1" ht="4.5" customHeight="1">
      <c r="B23" s="280"/>
      <c r="C23" s="281"/>
      <c r="D23" s="288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90"/>
      <c r="U23" s="286"/>
      <c r="V23" s="287"/>
    </row>
    <row r="24" spans="2:22" ht="15.75" customHeight="1">
      <c r="B24" s="254"/>
      <c r="C24" s="259"/>
      <c r="D24" s="431" t="s">
        <v>255</v>
      </c>
      <c r="E24" s="431"/>
      <c r="F24" s="431"/>
      <c r="G24" s="431"/>
      <c r="H24" s="431"/>
      <c r="I24" s="431"/>
      <c r="J24" s="431"/>
      <c r="K24" s="431"/>
      <c r="L24" s="432"/>
      <c r="M24" s="432"/>
      <c r="N24" s="432"/>
      <c r="O24" s="432"/>
      <c r="P24" s="432"/>
      <c r="Q24" s="432"/>
      <c r="R24" s="432"/>
      <c r="S24" s="432"/>
      <c r="T24" s="432"/>
      <c r="U24" s="262"/>
      <c r="V24" s="258"/>
    </row>
    <row r="25" spans="2:22" ht="15.75" customHeight="1">
      <c r="B25" s="254"/>
      <c r="C25" s="259"/>
      <c r="D25" s="433" t="s">
        <v>256</v>
      </c>
      <c r="E25" s="433"/>
      <c r="F25" s="433"/>
      <c r="G25" s="433"/>
      <c r="H25" s="433"/>
      <c r="I25" s="433"/>
      <c r="J25" s="433"/>
      <c r="K25" s="433"/>
      <c r="L25" s="434"/>
      <c r="M25" s="434"/>
      <c r="N25" s="434"/>
      <c r="O25" s="434"/>
      <c r="P25" s="434"/>
      <c r="Q25" s="434"/>
      <c r="R25" s="434"/>
      <c r="S25" s="434"/>
      <c r="T25" s="434"/>
      <c r="U25" s="262"/>
      <c r="V25" s="258"/>
    </row>
    <row r="26" spans="2:22" ht="15.75" customHeight="1">
      <c r="B26" s="254"/>
      <c r="C26" s="259"/>
      <c r="D26" s="433" t="s">
        <v>257</v>
      </c>
      <c r="E26" s="433"/>
      <c r="F26" s="433"/>
      <c r="G26" s="433"/>
      <c r="H26" s="433"/>
      <c r="I26" s="433"/>
      <c r="J26" s="433"/>
      <c r="K26" s="433"/>
      <c r="L26" s="434"/>
      <c r="M26" s="434"/>
      <c r="N26" s="434"/>
      <c r="O26" s="434"/>
      <c r="P26" s="434"/>
      <c r="Q26" s="434"/>
      <c r="R26" s="434"/>
      <c r="S26" s="434"/>
      <c r="T26" s="434"/>
      <c r="U26" s="262"/>
      <c r="V26" s="258"/>
    </row>
    <row r="27" spans="2:22" ht="15.75" customHeight="1">
      <c r="B27" s="254"/>
      <c r="C27" s="259"/>
      <c r="D27" s="433" t="s">
        <v>258</v>
      </c>
      <c r="E27" s="433"/>
      <c r="F27" s="433"/>
      <c r="G27" s="433"/>
      <c r="H27" s="433"/>
      <c r="I27" s="433"/>
      <c r="J27" s="433"/>
      <c r="K27" s="433"/>
      <c r="L27" s="434"/>
      <c r="M27" s="434"/>
      <c r="N27" s="434"/>
      <c r="O27" s="434"/>
      <c r="P27" s="434"/>
      <c r="Q27" s="434"/>
      <c r="R27" s="434"/>
      <c r="S27" s="434"/>
      <c r="T27" s="434"/>
      <c r="U27" s="262"/>
      <c r="V27" s="258"/>
    </row>
    <row r="28" spans="2:22" ht="31.5" customHeight="1">
      <c r="B28" s="254"/>
      <c r="C28" s="259"/>
      <c r="D28" s="433" t="s">
        <v>259</v>
      </c>
      <c r="E28" s="433"/>
      <c r="F28" s="433"/>
      <c r="G28" s="433"/>
      <c r="H28" s="433"/>
      <c r="I28" s="433"/>
      <c r="J28" s="433"/>
      <c r="K28" s="433"/>
      <c r="L28" s="435"/>
      <c r="M28" s="435"/>
      <c r="N28" s="435"/>
      <c r="O28" s="435"/>
      <c r="P28" s="435"/>
      <c r="Q28" s="435"/>
      <c r="R28" s="435"/>
      <c r="S28" s="435"/>
      <c r="T28" s="435"/>
      <c r="U28" s="262"/>
      <c r="V28" s="258"/>
    </row>
    <row r="29" spans="2:22" ht="15.75" customHeight="1">
      <c r="B29" s="254"/>
      <c r="C29" s="259"/>
      <c r="D29" s="433" t="s">
        <v>260</v>
      </c>
      <c r="E29" s="433"/>
      <c r="F29" s="433"/>
      <c r="G29" s="433"/>
      <c r="H29" s="433"/>
      <c r="I29" s="433"/>
      <c r="J29" s="433"/>
      <c r="K29" s="433"/>
      <c r="L29" s="434"/>
      <c r="M29" s="434"/>
      <c r="N29" s="434"/>
      <c r="O29" s="434"/>
      <c r="P29" s="434"/>
      <c r="Q29" s="434"/>
      <c r="R29" s="434"/>
      <c r="S29" s="434"/>
      <c r="T29" s="434"/>
      <c r="U29" s="262"/>
      <c r="V29" s="258"/>
    </row>
    <row r="30" spans="2:22" ht="15.75" customHeight="1">
      <c r="B30" s="254"/>
      <c r="C30" s="259"/>
      <c r="D30" s="433" t="s">
        <v>311</v>
      </c>
      <c r="E30" s="433"/>
      <c r="F30" s="433"/>
      <c r="G30" s="433"/>
      <c r="H30" s="433"/>
      <c r="I30" s="433"/>
      <c r="J30" s="433"/>
      <c r="K30" s="433"/>
      <c r="L30" s="434"/>
      <c r="M30" s="434"/>
      <c r="N30" s="434"/>
      <c r="O30" s="434"/>
      <c r="P30" s="434"/>
      <c r="Q30" s="434"/>
      <c r="R30" s="434"/>
      <c r="S30" s="434"/>
      <c r="T30" s="434"/>
      <c r="U30" s="262"/>
      <c r="V30" s="258"/>
    </row>
    <row r="31" spans="2:22" ht="4.5" customHeight="1">
      <c r="B31" s="254"/>
      <c r="C31" s="259"/>
      <c r="D31" s="291"/>
      <c r="E31" s="292"/>
      <c r="F31" s="292"/>
      <c r="G31" s="292"/>
      <c r="H31" s="292"/>
      <c r="I31" s="292"/>
      <c r="J31" s="292"/>
      <c r="K31" s="292"/>
      <c r="L31" s="293"/>
      <c r="M31" s="294"/>
      <c r="N31" s="294"/>
      <c r="O31" s="294"/>
      <c r="P31" s="294"/>
      <c r="Q31" s="294"/>
      <c r="R31" s="294"/>
      <c r="S31" s="294"/>
      <c r="T31" s="295"/>
      <c r="U31" s="262"/>
      <c r="V31" s="258"/>
    </row>
    <row r="32" spans="2:22" ht="15.75" customHeight="1">
      <c r="B32" s="254"/>
      <c r="C32" s="259"/>
      <c r="D32" s="296"/>
      <c r="E32" s="296"/>
      <c r="F32" s="296"/>
      <c r="G32" s="296"/>
      <c r="H32" s="296"/>
      <c r="I32" s="296"/>
      <c r="J32" s="296"/>
      <c r="K32" s="296"/>
      <c r="L32" s="297"/>
      <c r="M32" s="298"/>
      <c r="N32" s="298"/>
      <c r="O32" s="298"/>
      <c r="P32" s="298"/>
      <c r="Q32" s="298"/>
      <c r="R32" s="298"/>
      <c r="S32" s="298"/>
      <c r="T32" s="298"/>
      <c r="U32" s="262"/>
      <c r="V32" s="258"/>
    </row>
    <row r="33" spans="2:22" ht="5.25" customHeight="1">
      <c r="B33" s="254"/>
      <c r="C33" s="259"/>
      <c r="D33" s="299"/>
      <c r="E33" s="300"/>
      <c r="F33" s="300"/>
      <c r="G33" s="300"/>
      <c r="H33" s="300"/>
      <c r="I33" s="300"/>
      <c r="J33" s="300"/>
      <c r="K33" s="300"/>
      <c r="L33" s="301"/>
      <c r="M33" s="302"/>
      <c r="N33" s="302"/>
      <c r="O33" s="302"/>
      <c r="P33" s="302"/>
      <c r="Q33" s="302"/>
      <c r="R33" s="302"/>
      <c r="S33" s="302"/>
      <c r="T33" s="303"/>
      <c r="U33" s="262"/>
      <c r="V33" s="258"/>
    </row>
    <row r="34" spans="2:22" s="304" customFormat="1" ht="21" customHeight="1">
      <c r="B34" s="305"/>
      <c r="C34" s="306"/>
      <c r="D34" s="282" t="s">
        <v>261</v>
      </c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307"/>
      <c r="U34" s="308"/>
      <c r="V34" s="309"/>
    </row>
    <row r="35" spans="2:22" s="310" customFormat="1" ht="4.5" customHeight="1">
      <c r="B35" s="311"/>
      <c r="C35" s="312"/>
      <c r="D35" s="288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90"/>
      <c r="U35" s="313"/>
      <c r="V35" s="314"/>
    </row>
    <row r="36" spans="2:22" s="279" customFormat="1" ht="15.75" customHeight="1">
      <c r="B36" s="280"/>
      <c r="C36" s="281"/>
      <c r="D36" s="431" t="s">
        <v>262</v>
      </c>
      <c r="E36" s="431"/>
      <c r="F36" s="431"/>
      <c r="G36" s="431"/>
      <c r="H36" s="431"/>
      <c r="I36" s="436">
        <f>SÖZLEŞME!$Y$7</f>
        <v>0</v>
      </c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286"/>
      <c r="V36" s="287"/>
    </row>
    <row r="37" spans="2:22" s="279" customFormat="1" ht="15.75" customHeight="1">
      <c r="B37" s="280"/>
      <c r="C37" s="281"/>
      <c r="D37" s="433" t="s">
        <v>263</v>
      </c>
      <c r="E37" s="433"/>
      <c r="F37" s="433"/>
      <c r="G37" s="433"/>
      <c r="H37" s="433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286"/>
      <c r="V37" s="287"/>
    </row>
    <row r="38" spans="2:22" s="279" customFormat="1" ht="15.75" customHeight="1">
      <c r="B38" s="280"/>
      <c r="C38" s="281"/>
      <c r="D38" s="433" t="s">
        <v>264</v>
      </c>
      <c r="E38" s="433"/>
      <c r="F38" s="433"/>
      <c r="G38" s="433"/>
      <c r="H38" s="433"/>
      <c r="I38" s="437">
        <f>SÖZLEŞME!Y8</f>
        <v>0</v>
      </c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286"/>
      <c r="V38" s="287"/>
    </row>
    <row r="39" spans="2:22" s="279" customFormat="1" ht="15.75" customHeight="1">
      <c r="B39" s="280"/>
      <c r="C39" s="281"/>
      <c r="D39" s="438" t="s">
        <v>265</v>
      </c>
      <c r="E39" s="438"/>
      <c r="F39" s="438"/>
      <c r="G39" s="438"/>
      <c r="H39" s="438"/>
      <c r="I39" s="439">
        <f>SÖZLEŞME!Y10</f>
        <v>0</v>
      </c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286"/>
      <c r="V39" s="287"/>
    </row>
    <row r="40" spans="2:22" s="279" customFormat="1" ht="15.75" customHeight="1">
      <c r="B40" s="280"/>
      <c r="C40" s="281"/>
      <c r="D40" s="431" t="s">
        <v>266</v>
      </c>
      <c r="E40" s="431"/>
      <c r="F40" s="431"/>
      <c r="G40" s="431"/>
      <c r="H40" s="431"/>
      <c r="I40" s="436">
        <f>SÖZLEŞME!$B$17</f>
        <v>0</v>
      </c>
      <c r="J40" s="436"/>
      <c r="K40" s="436"/>
      <c r="L40" s="440" t="s">
        <v>267</v>
      </c>
      <c r="M40" s="440"/>
      <c r="N40" s="441" t="s">
        <v>268</v>
      </c>
      <c r="O40" s="441"/>
      <c r="P40" s="441"/>
      <c r="Q40" s="441" t="s">
        <v>269</v>
      </c>
      <c r="R40" s="441"/>
      <c r="S40" s="442" t="s">
        <v>76</v>
      </c>
      <c r="T40" s="442"/>
      <c r="U40" s="286"/>
      <c r="V40" s="287"/>
    </row>
    <row r="41" spans="2:22" s="279" customFormat="1" ht="15.75" customHeight="1">
      <c r="B41" s="280"/>
      <c r="C41" s="281"/>
      <c r="D41" s="433" t="s">
        <v>12</v>
      </c>
      <c r="E41" s="433"/>
      <c r="F41" s="433"/>
      <c r="G41" s="433"/>
      <c r="H41" s="433"/>
      <c r="I41" s="437">
        <f>SÖZLEŞME!$G$17</f>
        <v>0</v>
      </c>
      <c r="J41" s="437"/>
      <c r="K41" s="437"/>
      <c r="L41" s="443">
        <f>SÖZLEŞME!G26</f>
        <v>1</v>
      </c>
      <c r="M41" s="443"/>
      <c r="N41" s="444">
        <f>SÖZLEŞME!$B$26</f>
        <v>0</v>
      </c>
      <c r="O41" s="444"/>
      <c r="P41" s="444"/>
      <c r="Q41" s="444">
        <f>SÖZLEŞME!M26</f>
        <v>1</v>
      </c>
      <c r="R41" s="444"/>
      <c r="S41" s="445">
        <f>'ASGARİ ÜCRET FORMU'!$F$21</f>
        <v>360</v>
      </c>
      <c r="T41" s="445"/>
      <c r="U41" s="286"/>
      <c r="V41" s="287"/>
    </row>
    <row r="42" spans="2:22" s="279" customFormat="1" ht="15.75" customHeight="1">
      <c r="B42" s="280"/>
      <c r="C42" s="281"/>
      <c r="D42" s="433" t="s">
        <v>270</v>
      </c>
      <c r="E42" s="433"/>
      <c r="F42" s="433"/>
      <c r="G42" s="433"/>
      <c r="H42" s="433"/>
      <c r="I42" s="437"/>
      <c r="J42" s="437"/>
      <c r="K42" s="437"/>
      <c r="L42" s="446"/>
      <c r="M42" s="446"/>
      <c r="N42" s="447"/>
      <c r="O42" s="447"/>
      <c r="P42" s="447"/>
      <c r="Q42" s="447"/>
      <c r="R42" s="447"/>
      <c r="S42" s="448"/>
      <c r="T42" s="448"/>
      <c r="U42" s="286"/>
      <c r="V42" s="287"/>
    </row>
    <row r="43" spans="2:22" s="279" customFormat="1" ht="15.75" customHeight="1">
      <c r="B43" s="280"/>
      <c r="C43" s="281"/>
      <c r="D43" s="433" t="s">
        <v>13</v>
      </c>
      <c r="E43" s="433"/>
      <c r="F43" s="433"/>
      <c r="G43" s="433"/>
      <c r="H43" s="433"/>
      <c r="I43" s="437">
        <f>SÖZLEŞME!$K$17</f>
        <v>0</v>
      </c>
      <c r="J43" s="437"/>
      <c r="K43" s="437"/>
      <c r="L43" s="446"/>
      <c r="M43" s="446"/>
      <c r="N43" s="447"/>
      <c r="O43" s="447"/>
      <c r="P43" s="447"/>
      <c r="Q43" s="447"/>
      <c r="R43" s="447"/>
      <c r="S43" s="448"/>
      <c r="T43" s="448"/>
      <c r="U43" s="286"/>
      <c r="V43" s="287"/>
    </row>
    <row r="44" spans="2:22" s="279" customFormat="1" ht="15.75" customHeight="1">
      <c r="B44" s="280"/>
      <c r="C44" s="281"/>
      <c r="D44" s="433" t="s">
        <v>271</v>
      </c>
      <c r="E44" s="433"/>
      <c r="F44" s="433"/>
      <c r="G44" s="433"/>
      <c r="H44" s="433"/>
      <c r="I44" s="434"/>
      <c r="J44" s="434"/>
      <c r="K44" s="434"/>
      <c r="L44" s="446"/>
      <c r="M44" s="446"/>
      <c r="N44" s="447"/>
      <c r="O44" s="447"/>
      <c r="P44" s="447"/>
      <c r="Q44" s="447"/>
      <c r="R44" s="447"/>
      <c r="S44" s="448"/>
      <c r="T44" s="448"/>
      <c r="U44" s="286"/>
      <c r="V44" s="287"/>
    </row>
    <row r="45" spans="2:22" s="279" customFormat="1" ht="15.75" customHeight="1">
      <c r="B45" s="280"/>
      <c r="C45" s="281"/>
      <c r="D45" s="433" t="s">
        <v>14</v>
      </c>
      <c r="E45" s="433"/>
      <c r="F45" s="433"/>
      <c r="G45" s="433"/>
      <c r="H45" s="433"/>
      <c r="I45" s="437">
        <f>SÖZLEŞME!$R$17</f>
        <v>0</v>
      </c>
      <c r="J45" s="437"/>
      <c r="K45" s="437"/>
      <c r="L45" s="446"/>
      <c r="M45" s="446"/>
      <c r="N45" s="447"/>
      <c r="O45" s="447"/>
      <c r="P45" s="447"/>
      <c r="Q45" s="447"/>
      <c r="R45" s="447"/>
      <c r="S45" s="448"/>
      <c r="T45" s="448"/>
      <c r="U45" s="286"/>
      <c r="V45" s="287"/>
    </row>
    <row r="46" spans="2:22" s="279" customFormat="1" ht="15.75" customHeight="1">
      <c r="B46" s="280"/>
      <c r="C46" s="281"/>
      <c r="D46" s="433" t="s">
        <v>15</v>
      </c>
      <c r="E46" s="433"/>
      <c r="F46" s="433"/>
      <c r="G46" s="433"/>
      <c r="H46" s="433"/>
      <c r="I46" s="449">
        <f>SÖZLEŞME!$AA$17</f>
        <v>0</v>
      </c>
      <c r="J46" s="449"/>
      <c r="K46" s="449"/>
      <c r="L46" s="450"/>
      <c r="M46" s="450"/>
      <c r="N46" s="451"/>
      <c r="O46" s="451"/>
      <c r="P46" s="451"/>
      <c r="Q46" s="447"/>
      <c r="R46" s="447"/>
      <c r="S46" s="448"/>
      <c r="T46" s="448"/>
      <c r="U46" s="286"/>
      <c r="V46" s="287"/>
    </row>
    <row r="47" spans="2:22" s="279" customFormat="1" ht="15.75" customHeight="1">
      <c r="B47" s="280"/>
      <c r="C47" s="281"/>
      <c r="D47" s="433" t="s">
        <v>16</v>
      </c>
      <c r="E47" s="433"/>
      <c r="F47" s="433"/>
      <c r="G47" s="433"/>
      <c r="H47" s="433"/>
      <c r="I47" s="437">
        <f>SÖZLEŞME!$AF$17</f>
        <v>0</v>
      </c>
      <c r="J47" s="437"/>
      <c r="K47" s="437"/>
      <c r="L47" s="452" t="s">
        <v>272</v>
      </c>
      <c r="M47" s="452"/>
      <c r="N47" s="452"/>
      <c r="O47" s="453">
        <f>'ASGARİ ÜCRET FORMU'!$F$22</f>
        <v>2</v>
      </c>
      <c r="P47" s="453"/>
      <c r="Q47" s="454" t="s">
        <v>273</v>
      </c>
      <c r="R47" s="454"/>
      <c r="S47" s="448">
        <f>SUM(S41:S46)</f>
        <v>360</v>
      </c>
      <c r="T47" s="448"/>
      <c r="U47" s="286"/>
      <c r="V47" s="287"/>
    </row>
    <row r="48" spans="2:22" s="279" customFormat="1" ht="15.75" customHeight="1">
      <c r="B48" s="280"/>
      <c r="C48" s="281"/>
      <c r="D48" s="433" t="s">
        <v>17</v>
      </c>
      <c r="E48" s="433"/>
      <c r="F48" s="433"/>
      <c r="G48" s="433"/>
      <c r="H48" s="433"/>
      <c r="I48" s="449">
        <f>SÖZLEŞME!$AJ$17</f>
        <v>0</v>
      </c>
      <c r="J48" s="449"/>
      <c r="K48" s="449"/>
      <c r="L48" s="454" t="s">
        <v>274</v>
      </c>
      <c r="M48" s="454"/>
      <c r="N48" s="454"/>
      <c r="O48" s="455" t="str">
        <f>IF(O47=2,"SOBALI",IF(O47="3A","KAT KALORİFERLİ",IF(O47="3B","MERKEZİ KALORİFERLİ",0)))</f>
        <v>SOBALI</v>
      </c>
      <c r="P48" s="455"/>
      <c r="Q48" s="456" t="s">
        <v>275</v>
      </c>
      <c r="R48" s="456"/>
      <c r="S48" s="457" t="s">
        <v>276</v>
      </c>
      <c r="T48" s="457"/>
      <c r="U48" s="286"/>
      <c r="V48" s="287"/>
    </row>
    <row r="49" spans="2:22" s="279" customFormat="1" ht="49.5" customHeight="1">
      <c r="B49" s="280"/>
      <c r="C49" s="281"/>
      <c r="D49" s="433" t="s">
        <v>277</v>
      </c>
      <c r="E49" s="433"/>
      <c r="F49" s="433"/>
      <c r="G49" s="433"/>
      <c r="H49" s="433"/>
      <c r="I49" s="458" t="str">
        <f>IF(O47&lt;3,"ISI YALITIM   ve                   SIHHİ TESİSATI","ISI YALITIM,                            SIHHİ TESİSATI  ve                     KALORİFER TESİSATI ")</f>
        <v>ISI YALITIM   ve                   SIHHİ TESİSATI</v>
      </c>
      <c r="J49" s="458"/>
      <c r="K49" s="458"/>
      <c r="L49" s="459" t="s">
        <v>278</v>
      </c>
      <c r="M49" s="459"/>
      <c r="N49" s="459"/>
      <c r="O49" s="460"/>
      <c r="P49" s="460"/>
      <c r="Q49" s="460"/>
      <c r="R49" s="460"/>
      <c r="S49" s="460"/>
      <c r="T49" s="460"/>
      <c r="U49" s="286"/>
      <c r="V49" s="287"/>
    </row>
    <row r="50" spans="2:22" s="279" customFormat="1" ht="15.75" customHeight="1">
      <c r="B50" s="280"/>
      <c r="C50" s="281"/>
      <c r="D50" s="433" t="s">
        <v>279</v>
      </c>
      <c r="E50" s="433"/>
      <c r="F50" s="433"/>
      <c r="G50" s="433"/>
      <c r="H50" s="433"/>
      <c r="I50" s="437">
        <f>SÖZLEŞME!$B$26</f>
        <v>0</v>
      </c>
      <c r="J50" s="437"/>
      <c r="K50" s="437"/>
      <c r="L50" s="459"/>
      <c r="M50" s="459"/>
      <c r="N50" s="459"/>
      <c r="O50" s="460"/>
      <c r="P50" s="460"/>
      <c r="Q50" s="460"/>
      <c r="R50" s="460"/>
      <c r="S50" s="460"/>
      <c r="T50" s="460"/>
      <c r="U50" s="286"/>
      <c r="V50" s="287"/>
    </row>
    <row r="51" spans="2:22" s="279" customFormat="1" ht="4.5" customHeight="1">
      <c r="B51" s="280"/>
      <c r="C51" s="281"/>
      <c r="D51" s="315"/>
      <c r="E51" s="316"/>
      <c r="F51" s="292"/>
      <c r="G51" s="292"/>
      <c r="H51" s="292"/>
      <c r="I51" s="292"/>
      <c r="J51" s="292"/>
      <c r="K51" s="317"/>
      <c r="L51" s="318"/>
      <c r="M51" s="318"/>
      <c r="N51" s="318"/>
      <c r="O51" s="319"/>
      <c r="P51" s="319"/>
      <c r="Q51" s="319"/>
      <c r="R51" s="319"/>
      <c r="S51" s="319"/>
      <c r="T51" s="320"/>
      <c r="U51" s="286"/>
      <c r="V51" s="287"/>
    </row>
    <row r="52" spans="2:22" ht="12.75">
      <c r="B52" s="254"/>
      <c r="C52" s="259"/>
      <c r="D52" s="260"/>
      <c r="E52" s="260"/>
      <c r="F52" s="260"/>
      <c r="G52" s="260"/>
      <c r="H52" s="260"/>
      <c r="I52" s="260"/>
      <c r="J52" s="260"/>
      <c r="K52" s="260"/>
      <c r="L52" s="298"/>
      <c r="M52" s="298"/>
      <c r="N52" s="298"/>
      <c r="O52" s="298"/>
      <c r="P52" s="298"/>
      <c r="Q52" s="298"/>
      <c r="R52" s="298"/>
      <c r="S52" s="298"/>
      <c r="T52" s="298"/>
      <c r="U52" s="262"/>
      <c r="V52" s="258"/>
    </row>
    <row r="53" spans="2:22" ht="12.75">
      <c r="B53" s="254"/>
      <c r="C53" s="259"/>
      <c r="D53" s="260"/>
      <c r="E53" s="260"/>
      <c r="F53" s="260"/>
      <c r="G53" s="260"/>
      <c r="H53" s="260"/>
      <c r="I53" s="260"/>
      <c r="J53" s="260"/>
      <c r="K53" s="260"/>
      <c r="L53" s="298"/>
      <c r="M53" s="298"/>
      <c r="N53" s="298"/>
      <c r="O53" s="298"/>
      <c r="P53" s="298"/>
      <c r="Q53" s="298"/>
      <c r="R53" s="298"/>
      <c r="S53" s="298"/>
      <c r="T53" s="298"/>
      <c r="U53" s="262"/>
      <c r="V53" s="258"/>
    </row>
    <row r="54" spans="2:22" s="321" customFormat="1" ht="12.75">
      <c r="B54" s="322"/>
      <c r="C54" s="323"/>
      <c r="D54" s="324" t="s">
        <v>280</v>
      </c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6"/>
      <c r="V54" s="327"/>
    </row>
    <row r="55" spans="2:22" s="321" customFormat="1" ht="12.75">
      <c r="B55" s="322"/>
      <c r="C55" s="323"/>
      <c r="D55" s="324" t="s">
        <v>312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6"/>
      <c r="V55" s="327"/>
    </row>
    <row r="56" spans="2:22" s="321" customFormat="1" ht="12.75">
      <c r="B56" s="322"/>
      <c r="C56" s="323"/>
      <c r="D56" s="324" t="s">
        <v>313</v>
      </c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6"/>
      <c r="V56" s="327"/>
    </row>
    <row r="57" spans="2:22" s="321" customFormat="1" ht="12.75">
      <c r="B57" s="322"/>
      <c r="C57" s="323"/>
      <c r="D57" s="324" t="s">
        <v>314</v>
      </c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6"/>
      <c r="V57" s="327"/>
    </row>
    <row r="58" spans="2:22" s="321" customFormat="1" ht="12.75">
      <c r="B58" s="322"/>
      <c r="C58" s="323"/>
      <c r="D58" s="324" t="s">
        <v>315</v>
      </c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6"/>
      <c r="V58" s="327"/>
    </row>
    <row r="59" spans="2:22" s="321" customFormat="1" ht="12.75">
      <c r="B59" s="322"/>
      <c r="C59" s="323"/>
      <c r="D59" s="324" t="s">
        <v>307</v>
      </c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6"/>
      <c r="V59" s="327"/>
    </row>
    <row r="60" spans="2:22" s="321" customFormat="1" ht="12.75">
      <c r="B60" s="322"/>
      <c r="C60" s="323"/>
      <c r="D60" s="324" t="s">
        <v>285</v>
      </c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6"/>
      <c r="V60" s="327"/>
    </row>
    <row r="61" spans="2:22" s="321" customFormat="1" ht="12.75">
      <c r="B61" s="322"/>
      <c r="C61" s="323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6"/>
      <c r="V61" s="327"/>
    </row>
    <row r="62" spans="2:22" s="321" customFormat="1" ht="12.75">
      <c r="B62" s="322"/>
      <c r="C62" s="323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6"/>
      <c r="V62" s="327"/>
    </row>
    <row r="63" spans="2:22" ht="12.75">
      <c r="B63" s="254"/>
      <c r="C63" s="259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260"/>
      <c r="U63" s="262"/>
      <c r="V63" s="258"/>
    </row>
    <row r="64" spans="2:22" ht="12.75">
      <c r="B64" s="254"/>
      <c r="C64" s="259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260"/>
      <c r="U64" s="262"/>
      <c r="V64" s="258"/>
    </row>
    <row r="65" spans="2:22" ht="12.75">
      <c r="B65" s="254"/>
      <c r="C65" s="259"/>
      <c r="D65" s="260"/>
      <c r="E65" s="260"/>
      <c r="F65" s="260"/>
      <c r="G65" s="260"/>
      <c r="H65" s="260"/>
      <c r="I65" s="461" t="s">
        <v>286</v>
      </c>
      <c r="J65" s="461"/>
      <c r="K65" s="461"/>
      <c r="L65" s="461"/>
      <c r="M65" s="461"/>
      <c r="N65" s="265"/>
      <c r="O65" s="329"/>
      <c r="P65" s="265"/>
      <c r="Q65" s="260"/>
      <c r="R65" s="260"/>
      <c r="S65" s="260"/>
      <c r="T65" s="260"/>
      <c r="U65" s="262"/>
      <c r="V65" s="258"/>
    </row>
    <row r="66" spans="2:22" ht="12.75">
      <c r="B66" s="254"/>
      <c r="C66" s="259"/>
      <c r="D66" s="260"/>
      <c r="E66" s="260"/>
      <c r="F66" s="260"/>
      <c r="G66" s="260"/>
      <c r="H66" s="260"/>
      <c r="I66" s="462" t="s">
        <v>287</v>
      </c>
      <c r="J66" s="462"/>
      <c r="K66" s="462"/>
      <c r="L66" s="462"/>
      <c r="M66" s="462"/>
      <c r="N66" s="331"/>
      <c r="O66" s="330"/>
      <c r="P66" s="331"/>
      <c r="Q66" s="260"/>
      <c r="R66" s="260"/>
      <c r="S66" s="260"/>
      <c r="T66" s="260"/>
      <c r="U66" s="262"/>
      <c r="V66" s="258"/>
    </row>
    <row r="67" spans="2:22" ht="12.75">
      <c r="B67" s="254"/>
      <c r="C67" s="259"/>
      <c r="D67" s="260"/>
      <c r="E67" s="260"/>
      <c r="F67" s="260"/>
      <c r="G67" s="260"/>
      <c r="H67" s="260"/>
      <c r="I67" s="461" t="s">
        <v>100</v>
      </c>
      <c r="J67" s="461"/>
      <c r="K67" s="461"/>
      <c r="L67" s="265"/>
      <c r="M67" s="265"/>
      <c r="N67" s="265"/>
      <c r="O67" s="265"/>
      <c r="P67" s="265"/>
      <c r="Q67" s="260"/>
      <c r="R67" s="260"/>
      <c r="S67" s="260"/>
      <c r="T67" s="260"/>
      <c r="U67" s="262"/>
      <c r="V67" s="258"/>
    </row>
    <row r="68" spans="2:22" ht="12.75">
      <c r="B68" s="254"/>
      <c r="C68" s="259"/>
      <c r="D68" s="260"/>
      <c r="E68" s="260"/>
      <c r="F68" s="260"/>
      <c r="G68" s="260"/>
      <c r="H68" s="260"/>
      <c r="I68" s="461" t="s">
        <v>288</v>
      </c>
      <c r="J68" s="461"/>
      <c r="K68" s="461"/>
      <c r="L68" s="260"/>
      <c r="M68" s="260"/>
      <c r="N68" s="260"/>
      <c r="O68" s="260"/>
      <c r="P68" s="260"/>
      <c r="Q68" s="260"/>
      <c r="R68" s="260"/>
      <c r="S68" s="260"/>
      <c r="T68" s="260"/>
      <c r="U68" s="262"/>
      <c r="V68" s="258"/>
    </row>
    <row r="69" spans="2:22" ht="12.75">
      <c r="B69" s="254"/>
      <c r="C69" s="259"/>
      <c r="D69" s="260"/>
      <c r="E69" s="260"/>
      <c r="F69" s="260"/>
      <c r="G69" s="260"/>
      <c r="H69" s="260"/>
      <c r="I69" s="461" t="s">
        <v>289</v>
      </c>
      <c r="J69" s="461"/>
      <c r="K69" s="461"/>
      <c r="L69" s="260"/>
      <c r="M69" s="260"/>
      <c r="N69" s="260"/>
      <c r="O69" s="260"/>
      <c r="P69" s="260"/>
      <c r="Q69" s="260"/>
      <c r="R69" s="260"/>
      <c r="S69" s="260"/>
      <c r="T69" s="260"/>
      <c r="U69" s="262"/>
      <c r="V69" s="258"/>
    </row>
    <row r="70" spans="2:22" ht="12.75">
      <c r="B70" s="254"/>
      <c r="C70" s="259"/>
      <c r="D70" s="260"/>
      <c r="E70" s="260"/>
      <c r="F70" s="260"/>
      <c r="G70" s="260"/>
      <c r="H70" s="260"/>
      <c r="I70" s="260"/>
      <c r="J70" s="329"/>
      <c r="K70" s="329"/>
      <c r="L70" s="329"/>
      <c r="M70" s="260"/>
      <c r="N70" s="260"/>
      <c r="O70" s="260"/>
      <c r="P70" s="260"/>
      <c r="Q70" s="260"/>
      <c r="R70" s="260"/>
      <c r="S70" s="260"/>
      <c r="T70" s="260"/>
      <c r="U70" s="262"/>
      <c r="V70" s="258"/>
    </row>
    <row r="71" spans="2:22" ht="12.75">
      <c r="B71" s="254"/>
      <c r="C71" s="259"/>
      <c r="D71" s="260"/>
      <c r="E71" s="260"/>
      <c r="F71" s="260"/>
      <c r="G71" s="260"/>
      <c r="H71" s="260"/>
      <c r="I71" s="260"/>
      <c r="J71" s="329"/>
      <c r="K71" s="329"/>
      <c r="L71" s="329"/>
      <c r="M71" s="260"/>
      <c r="N71" s="260"/>
      <c r="O71" s="260"/>
      <c r="P71" s="260"/>
      <c r="Q71" s="260"/>
      <c r="R71" s="260"/>
      <c r="S71" s="260"/>
      <c r="T71" s="260"/>
      <c r="U71" s="262"/>
      <c r="V71" s="258"/>
    </row>
    <row r="72" spans="2:22" ht="12.75">
      <c r="B72" s="254"/>
      <c r="C72" s="259"/>
      <c r="D72" s="260"/>
      <c r="E72" s="260"/>
      <c r="F72" s="260"/>
      <c r="G72" s="260"/>
      <c r="H72" s="329"/>
      <c r="I72" s="329"/>
      <c r="J72" s="329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2"/>
      <c r="V72" s="258"/>
    </row>
    <row r="73" spans="2:22" ht="12.75">
      <c r="B73" s="254"/>
      <c r="C73" s="259"/>
      <c r="D73" s="260"/>
      <c r="E73" s="260"/>
      <c r="F73" s="260"/>
      <c r="G73" s="329"/>
      <c r="H73" s="329"/>
      <c r="I73" s="329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2"/>
      <c r="V73" s="258"/>
    </row>
    <row r="74" spans="2:22" ht="12.75">
      <c r="B74" s="254"/>
      <c r="C74" s="259"/>
      <c r="D74" s="260"/>
      <c r="E74" s="260"/>
      <c r="F74" s="260"/>
      <c r="G74" s="329"/>
      <c r="H74" s="329"/>
      <c r="I74" s="329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2"/>
      <c r="V74" s="258"/>
    </row>
    <row r="75" spans="2:22" ht="12.75">
      <c r="B75" s="254"/>
      <c r="C75" s="332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4"/>
      <c r="V75" s="258"/>
    </row>
    <row r="76" spans="2:22" ht="7.5" customHeight="1">
      <c r="B76" s="335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7"/>
    </row>
    <row r="77" spans="3:19" ht="12.75"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</row>
  </sheetData>
  <mergeCells count="95">
    <mergeCell ref="I69:K69"/>
    <mergeCell ref="I65:M65"/>
    <mergeCell ref="I66:M66"/>
    <mergeCell ref="I67:K67"/>
    <mergeCell ref="I68:K68"/>
    <mergeCell ref="Q48:R48"/>
    <mergeCell ref="S48:T48"/>
    <mergeCell ref="D49:H49"/>
    <mergeCell ref="I49:K49"/>
    <mergeCell ref="L49:N50"/>
    <mergeCell ref="O49:T50"/>
    <mergeCell ref="D50:H50"/>
    <mergeCell ref="I50:K50"/>
    <mergeCell ref="D48:H48"/>
    <mergeCell ref="I48:K48"/>
    <mergeCell ref="L48:N48"/>
    <mergeCell ref="O48:P48"/>
    <mergeCell ref="Q46:R46"/>
    <mergeCell ref="S46:T46"/>
    <mergeCell ref="D47:H47"/>
    <mergeCell ref="I47:K47"/>
    <mergeCell ref="L47:N47"/>
    <mergeCell ref="O47:P47"/>
    <mergeCell ref="Q47:R47"/>
    <mergeCell ref="S47:T47"/>
    <mergeCell ref="D46:H46"/>
    <mergeCell ref="I46:K46"/>
    <mergeCell ref="L46:M46"/>
    <mergeCell ref="N46:P46"/>
    <mergeCell ref="Q44:R44"/>
    <mergeCell ref="S44:T44"/>
    <mergeCell ref="D45:H45"/>
    <mergeCell ref="I45:K45"/>
    <mergeCell ref="L45:M45"/>
    <mergeCell ref="N45:P45"/>
    <mergeCell ref="Q45:R45"/>
    <mergeCell ref="S45:T45"/>
    <mergeCell ref="D44:H44"/>
    <mergeCell ref="I44:K44"/>
    <mergeCell ref="L44:M44"/>
    <mergeCell ref="N44:P44"/>
    <mergeCell ref="Q42:R42"/>
    <mergeCell ref="S42:T42"/>
    <mergeCell ref="D43:H43"/>
    <mergeCell ref="I43:K43"/>
    <mergeCell ref="L43:M43"/>
    <mergeCell ref="N43:P43"/>
    <mergeCell ref="Q43:R43"/>
    <mergeCell ref="S43:T43"/>
    <mergeCell ref="D42:H42"/>
    <mergeCell ref="I42:K42"/>
    <mergeCell ref="L42:M42"/>
    <mergeCell ref="N42:P42"/>
    <mergeCell ref="Q40:R40"/>
    <mergeCell ref="S40:T40"/>
    <mergeCell ref="D41:H41"/>
    <mergeCell ref="I41:K41"/>
    <mergeCell ref="L41:M41"/>
    <mergeCell ref="N41:P41"/>
    <mergeCell ref="Q41:R41"/>
    <mergeCell ref="S41:T41"/>
    <mergeCell ref="D40:H40"/>
    <mergeCell ref="I40:K40"/>
    <mergeCell ref="L40:M40"/>
    <mergeCell ref="N40:P40"/>
    <mergeCell ref="D38:H38"/>
    <mergeCell ref="I38:T38"/>
    <mergeCell ref="D39:H39"/>
    <mergeCell ref="I39:T39"/>
    <mergeCell ref="D36:H36"/>
    <mergeCell ref="I36:T36"/>
    <mergeCell ref="D37:H37"/>
    <mergeCell ref="I37:T37"/>
    <mergeCell ref="D29:K29"/>
    <mergeCell ref="L29:T29"/>
    <mergeCell ref="D30:K30"/>
    <mergeCell ref="L30:T30"/>
    <mergeCell ref="D27:K27"/>
    <mergeCell ref="L27:T27"/>
    <mergeCell ref="D28:K28"/>
    <mergeCell ref="L28:T28"/>
    <mergeCell ref="D25:K25"/>
    <mergeCell ref="L25:T25"/>
    <mergeCell ref="D26:K26"/>
    <mergeCell ref="L26:T26"/>
    <mergeCell ref="I10:L11"/>
    <mergeCell ref="D18:T18"/>
    <mergeCell ref="E19:T19"/>
    <mergeCell ref="D24:K24"/>
    <mergeCell ref="L24:T24"/>
    <mergeCell ref="I6:J7"/>
    <mergeCell ref="P6:Q6"/>
    <mergeCell ref="P7:Q7"/>
    <mergeCell ref="I8:O9"/>
    <mergeCell ref="P8:Q8"/>
  </mergeCells>
  <dataValidations count="1">
    <dataValidation type="list" operator="equal" allowBlank="1" showInputMessage="1" showErrorMessage="1" prompt="Yakıt Cinsini Listeden  Seçiniz" error="Yakıt Cinsini Listeden Seçiniz ?" sqref="S48:T48">
      <formula1>"Katı yakıt,Fuel-oil,Doğalgaz,LPG,Elektrik,Güneş,Termal,Rüzgar"</formula1>
    </dataValidation>
  </dataValidations>
  <printOptions/>
  <pageMargins left="0.5" right="0.1701388888888889" top="0.37986111111111115" bottom="0.3902777777777778" header="0.5118055555555556" footer="0.5118055555555556"/>
  <pageSetup cellComments="atEnd" fitToHeight="1" fitToWidth="1" horizontalDpi="300" verticalDpi="300" orientation="portrait" paperSize="9"/>
  <drawing r:id="rId3"/>
  <legacyDrawing r:id="rId2"/>
  <oleObjects>
    <oleObject progId="opendocument.WriterDocument.1" shapeId="40372374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4:IV66"/>
  <sheetViews>
    <sheetView showZeros="0" workbookViewId="0" topLeftCell="A4">
      <selection activeCell="A23" sqref="A23"/>
    </sheetView>
  </sheetViews>
  <sheetFormatPr defaultColWidth="9.140625" defaultRowHeight="11.25" customHeight="1"/>
  <cols>
    <col min="1" max="10" width="2.28125" style="0" customWidth="1"/>
    <col min="11" max="11" width="2.8515625" style="0" customWidth="1"/>
    <col min="12" max="35" width="2.28125" style="0" customWidth="1"/>
    <col min="36" max="36" width="2.7109375" style="0" customWidth="1"/>
    <col min="37" max="37" width="1.8515625" style="0" customWidth="1"/>
    <col min="38" max="38" width="1.28515625" style="0" customWidth="1"/>
    <col min="39" max="40" width="2.28125" style="0" customWidth="1"/>
    <col min="41" max="41" width="1.421875" style="0" customWidth="1"/>
    <col min="42" max="16384" width="2.28125" style="0" customWidth="1"/>
  </cols>
  <sheetData>
    <row r="14" spans="1:38" ht="18" customHeight="1">
      <c r="A14" s="469" t="s">
        <v>316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</row>
    <row r="16" s="100" customFormat="1" ht="15" customHeight="1"/>
    <row r="17" spans="1:256" s="132" customFormat="1" ht="14.25" customHeight="1">
      <c r="A17" s="132">
        <f>SÖZLEŞME!B17</f>
        <v>0</v>
      </c>
      <c r="B17"/>
      <c r="C17"/>
      <c r="E17" s="132" t="s">
        <v>317</v>
      </c>
      <c r="I17" s="132">
        <f>SÖZLEŞME!G17</f>
        <v>0</v>
      </c>
      <c r="M17" s="132" t="s">
        <v>318</v>
      </c>
      <c r="P17" s="470">
        <f>SÖZLEŞME!K17</f>
        <v>0</v>
      </c>
      <c r="Q17" s="470"/>
      <c r="R17" s="470"/>
      <c r="S17" s="470"/>
      <c r="T17" s="470"/>
      <c r="U17" s="470"/>
      <c r="V17" s="470"/>
      <c r="W17" s="470"/>
      <c r="X17" s="132" t="s">
        <v>319</v>
      </c>
      <c r="AC17" s="470">
        <f>SÖZLEŞME!R17</f>
        <v>0</v>
      </c>
      <c r="AD17" s="470"/>
      <c r="AE17" s="470"/>
      <c r="AF17" s="470"/>
      <c r="AG17" s="470"/>
      <c r="AH17" s="470"/>
      <c r="AI17" s="470"/>
      <c r="AJ17" s="470"/>
      <c r="AK17" s="470"/>
      <c r="AL17" s="132" t="s">
        <v>320</v>
      </c>
      <c r="IS17"/>
      <c r="IT17"/>
      <c r="IU17"/>
      <c r="IV17"/>
    </row>
    <row r="18" spans="1:42" s="132" customFormat="1" ht="14.25" customHeight="1">
      <c r="A18" s="471">
        <f>SÖZLEŞME!Y7</f>
        <v>0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343" t="s">
        <v>321</v>
      </c>
      <c r="X18" s="470">
        <f>SÖZLEŞME!AA17</f>
        <v>0</v>
      </c>
      <c r="Y18" s="470"/>
      <c r="Z18" s="470"/>
      <c r="AA18" s="470"/>
      <c r="AB18" s="470"/>
      <c r="AC18" s="132" t="s">
        <v>322</v>
      </c>
      <c r="AF18" s="472">
        <f>SÖZLEŞME!AF17</f>
        <v>0</v>
      </c>
      <c r="AG18" s="472"/>
      <c r="AH18" s="472"/>
      <c r="AI18" s="132" t="s">
        <v>323</v>
      </c>
      <c r="AM18" s="470">
        <f>SÖZLEŞME!AJ17</f>
        <v>0</v>
      </c>
      <c r="AN18" s="470"/>
      <c r="AO18" s="470"/>
      <c r="AP18" s="343" t="s">
        <v>324</v>
      </c>
    </row>
    <row r="19" spans="1:38" s="132" customFormat="1" ht="14.25" customHeight="1">
      <c r="A19" s="132" t="s">
        <v>325</v>
      </c>
      <c r="AL19" s="343"/>
    </row>
    <row r="20" s="132" customFormat="1" ht="14.25" customHeight="1">
      <c r="A20" s="132" t="s">
        <v>326</v>
      </c>
    </row>
    <row r="21" s="132" customFormat="1" ht="14.25" customHeight="1">
      <c r="A21" s="132" t="s">
        <v>327</v>
      </c>
    </row>
    <row r="22" s="132" customFormat="1" ht="14.25" customHeight="1">
      <c r="A22" s="132" t="s">
        <v>328</v>
      </c>
    </row>
    <row r="23" spans="1:256" s="132" customFormat="1" ht="14.25" customHeight="1">
      <c r="A23" s="473">
        <f>IF(SÖZLEŞME!G17="MERKEZ",SÖZLEŞME!B17,SÖZLEŞME!G17)</f>
        <v>0</v>
      </c>
      <c r="B23" s="473"/>
      <c r="C23" s="473"/>
      <c r="D23" s="473"/>
      <c r="E23" s="473"/>
      <c r="F23" s="473"/>
      <c r="G23" s="132" t="s">
        <v>329</v>
      </c>
      <c r="AJ23" s="474">
        <f ca="1">NOW()</f>
        <v>39764.49242037037</v>
      </c>
      <c r="AK23" s="474"/>
      <c r="AL23" s="474"/>
      <c r="AM23" s="474"/>
      <c r="AN23" s="474"/>
      <c r="AO23" s="474"/>
      <c r="IU23"/>
      <c r="IV23"/>
    </row>
    <row r="24" s="132" customFormat="1" ht="14.25" customHeight="1"/>
    <row r="25" spans="3:26" s="132" customFormat="1" ht="14.25" customHeight="1">
      <c r="C25" s="132" t="s">
        <v>330</v>
      </c>
      <c r="T25" s="475">
        <f>ROUND(AJ23+30.35*SÖZLEŞME!AG26,0)</f>
        <v>40038</v>
      </c>
      <c r="U25" s="475"/>
      <c r="V25" s="475"/>
      <c r="W25" s="475"/>
      <c r="X25" s="475"/>
      <c r="Y25" s="475"/>
      <c r="Z25" s="132" t="s">
        <v>331</v>
      </c>
    </row>
    <row r="26" s="132" customFormat="1" ht="14.25" customHeight="1"/>
    <row r="27" s="132" customFormat="1" ht="14.25" customHeight="1"/>
    <row r="28" s="132" customFormat="1" ht="14.25" customHeight="1"/>
    <row r="29" spans="1:37" s="132" customFormat="1" ht="14.25" customHeight="1">
      <c r="A29" s="132" t="s">
        <v>332</v>
      </c>
      <c r="Z29" s="470" t="s">
        <v>333</v>
      </c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</row>
    <row r="30" spans="1:48" s="132" customFormat="1" ht="15" customHeight="1">
      <c r="A30" s="132" t="s">
        <v>334</v>
      </c>
      <c r="L30" s="132" t="s">
        <v>101</v>
      </c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Z30" s="470" t="s">
        <v>335</v>
      </c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Q30" s="100"/>
      <c r="AR30" s="100"/>
      <c r="AS30" s="100"/>
      <c r="AT30" s="100"/>
      <c r="AU30" s="100"/>
      <c r="AV30" s="100"/>
    </row>
    <row r="31" spans="1:48" s="132" customFormat="1" ht="15" customHeight="1">
      <c r="A31" s="132" t="s">
        <v>336</v>
      </c>
      <c r="L31" s="132" t="s">
        <v>101</v>
      </c>
      <c r="M31" s="472"/>
      <c r="N31" s="472"/>
      <c r="O31" s="472"/>
      <c r="P31" s="472"/>
      <c r="Q31" s="472"/>
      <c r="AQ31" s="100"/>
      <c r="AR31" s="100"/>
      <c r="AS31" s="100"/>
      <c r="AT31" s="100"/>
      <c r="AU31" s="100"/>
      <c r="AV31" s="100"/>
    </row>
    <row r="32" spans="1:48" s="132" customFormat="1" ht="15" customHeight="1">
      <c r="A32" s="132" t="s">
        <v>337</v>
      </c>
      <c r="L32" s="132" t="s">
        <v>101</v>
      </c>
      <c r="AQ32" s="100"/>
      <c r="AR32" s="100"/>
      <c r="AS32" s="100"/>
      <c r="AT32" s="100"/>
      <c r="AU32" s="100"/>
      <c r="AV32" s="100"/>
    </row>
    <row r="33" spans="43:48" s="132" customFormat="1" ht="15" customHeight="1">
      <c r="AQ33" s="100"/>
      <c r="AR33" s="100"/>
      <c r="AS33" s="100"/>
      <c r="AT33" s="100"/>
      <c r="AU33" s="100"/>
      <c r="AV33" s="100"/>
    </row>
    <row r="34" s="100" customFormat="1" ht="15" customHeight="1"/>
    <row r="35" s="100" customFormat="1" ht="15" customHeight="1"/>
    <row r="36" s="100" customFormat="1" ht="15" customHeight="1"/>
    <row r="37" s="100" customFormat="1" ht="15" customHeight="1"/>
    <row r="38" s="100" customFormat="1" ht="15" customHeight="1"/>
    <row r="39" s="100" customFormat="1" ht="15" customHeight="1"/>
    <row r="40" s="100" customFormat="1" ht="15" customHeight="1"/>
    <row r="41" s="100" customFormat="1" ht="15" customHeight="1"/>
    <row r="42" s="100" customFormat="1" ht="15" customHeight="1"/>
    <row r="43" s="100" customFormat="1" ht="15" customHeight="1"/>
    <row r="44" s="100" customFormat="1" ht="15" customHeight="1"/>
    <row r="45" s="100" customFormat="1" ht="15" customHeight="1"/>
    <row r="46" s="100" customFormat="1" ht="15" customHeight="1"/>
    <row r="47" s="100" customFormat="1" ht="15" customHeight="1"/>
    <row r="48" s="100" customFormat="1" ht="15" customHeight="1"/>
    <row r="49" s="100" customFormat="1" ht="15" customHeight="1"/>
    <row r="50" s="100" customFormat="1" ht="15" customHeight="1"/>
    <row r="51" s="100" customFormat="1" ht="15" customHeight="1"/>
    <row r="52" s="100" customFormat="1" ht="15" customHeight="1"/>
    <row r="53" s="100" customFormat="1" ht="15" customHeight="1"/>
    <row r="54" s="100" customFormat="1" ht="15" customHeight="1"/>
    <row r="55" s="100" customFormat="1" ht="15" customHeight="1"/>
    <row r="56" s="100" customFormat="1" ht="15" customHeight="1"/>
    <row r="57" s="100" customFormat="1" ht="15" customHeight="1"/>
    <row r="58" s="100" customFormat="1" ht="15" customHeight="1"/>
    <row r="59" s="100" customFormat="1" ht="15" customHeight="1"/>
    <row r="60" s="100" customFormat="1" ht="15" customHeight="1"/>
    <row r="61" s="100" customFormat="1" ht="15" customHeight="1"/>
    <row r="62" s="100" customFormat="1" ht="15" customHeight="1"/>
    <row r="63" spans="43:48" s="100" customFormat="1" ht="15" customHeight="1">
      <c r="AQ63"/>
      <c r="AR63"/>
      <c r="AS63"/>
      <c r="AT63"/>
      <c r="AU63"/>
      <c r="AV63"/>
    </row>
    <row r="64" spans="43:48" s="100" customFormat="1" ht="15" customHeight="1">
      <c r="AQ64"/>
      <c r="AR64"/>
      <c r="AS64"/>
      <c r="AT64"/>
      <c r="AU64"/>
      <c r="AV64"/>
    </row>
    <row r="65" spans="43:48" s="100" customFormat="1" ht="15" customHeight="1">
      <c r="AQ65"/>
      <c r="AR65"/>
      <c r="AS65"/>
      <c r="AT65"/>
      <c r="AU65"/>
      <c r="AV65"/>
    </row>
    <row r="66" spans="43:48" s="100" customFormat="1" ht="15" customHeight="1">
      <c r="AQ66"/>
      <c r="AR66"/>
      <c r="AS66"/>
      <c r="AT66"/>
      <c r="AU66"/>
      <c r="AV66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mergeCells count="14">
    <mergeCell ref="Z29:AK29"/>
    <mergeCell ref="M30:V30"/>
    <mergeCell ref="Z30:AK30"/>
    <mergeCell ref="M31:Q31"/>
    <mergeCell ref="AM18:AO18"/>
    <mergeCell ref="A23:F23"/>
    <mergeCell ref="AJ23:AO23"/>
    <mergeCell ref="T25:Y25"/>
    <mergeCell ref="A14:AL14"/>
    <mergeCell ref="P17:W17"/>
    <mergeCell ref="AC17:AK17"/>
    <mergeCell ref="A18:N18"/>
    <mergeCell ref="X18:AB18"/>
    <mergeCell ref="AF18:AH18"/>
  </mergeCells>
  <printOptions/>
  <pageMargins left="0.7479166666666667" right="0.3" top="0.9840277777777778" bottom="0.9840277777777778" header="0.5118055555555556" footer="0.5118055555555556"/>
  <pageSetup horizontalDpi="300" verticalDpi="300" orientation="portrait" paperSize="9" scale="9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IV63"/>
  <sheetViews>
    <sheetView showZeros="0" workbookViewId="0" topLeftCell="A7">
      <selection activeCell="M23" sqref="M23"/>
    </sheetView>
  </sheetViews>
  <sheetFormatPr defaultColWidth="9.140625" defaultRowHeight="11.25" customHeight="1"/>
  <cols>
    <col min="1" max="3" width="2.28125" style="0" customWidth="1"/>
    <col min="4" max="4" width="2.57421875" style="0" customWidth="1"/>
    <col min="5" max="7" width="2.28125" style="0" customWidth="1"/>
    <col min="8" max="8" width="1.8515625" style="0" customWidth="1"/>
    <col min="9" max="10" width="2.28125" style="0" customWidth="1"/>
    <col min="11" max="11" width="2.8515625" style="0" customWidth="1"/>
    <col min="12" max="16" width="2.28125" style="0" customWidth="1"/>
    <col min="17" max="17" width="1.8515625" style="0" customWidth="1"/>
    <col min="18" max="37" width="2.28125" style="0" customWidth="1"/>
    <col min="38" max="38" width="2.00390625" style="0" customWidth="1"/>
    <col min="39" max="39" width="3.00390625" style="0" customWidth="1"/>
    <col min="40" max="40" width="2.28125" style="0" customWidth="1"/>
    <col min="41" max="41" width="1.421875" style="0" customWidth="1"/>
    <col min="42" max="42" width="0.85546875" style="0" customWidth="1"/>
    <col min="43" max="16384" width="2.28125" style="0" customWidth="1"/>
  </cols>
  <sheetData>
    <row r="14" spans="1:38" ht="18" customHeight="1">
      <c r="A14" s="469" t="s">
        <v>338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</row>
    <row r="16" s="100" customFormat="1" ht="15" customHeight="1"/>
    <row r="17" spans="1:256" s="132" customFormat="1" ht="14.25" customHeight="1">
      <c r="A17" s="132">
        <f>SÖZLEŞME!B17</f>
        <v>0</v>
      </c>
      <c r="B17"/>
      <c r="D17" s="132" t="s">
        <v>339</v>
      </c>
      <c r="H17" s="472">
        <f>SÖZLEŞME!G17</f>
        <v>0</v>
      </c>
      <c r="I17" s="472"/>
      <c r="J17" s="472"/>
      <c r="K17" s="472"/>
      <c r="L17" s="132" t="s">
        <v>318</v>
      </c>
      <c r="O17" s="470">
        <f>SÖZLEŞME!K17</f>
        <v>0</v>
      </c>
      <c r="P17" s="470"/>
      <c r="Q17" s="470"/>
      <c r="R17" s="470"/>
      <c r="S17" s="470"/>
      <c r="T17" s="470"/>
      <c r="U17" s="470"/>
      <c r="V17" s="470"/>
      <c r="W17" s="132" t="s">
        <v>319</v>
      </c>
      <c r="AB17" s="470">
        <f>SÖZLEŞME!R17</f>
        <v>0</v>
      </c>
      <c r="AC17" s="470"/>
      <c r="AD17" s="470"/>
      <c r="AE17" s="470"/>
      <c r="AF17" s="470"/>
      <c r="AG17" s="470"/>
      <c r="AH17" s="470"/>
      <c r="AI17" s="470"/>
      <c r="AJ17" s="470"/>
      <c r="AK17" s="132" t="s">
        <v>320</v>
      </c>
      <c r="IU17"/>
      <c r="IV17"/>
    </row>
    <row r="18" spans="1:43" s="132" customFormat="1" ht="14.25" customHeight="1">
      <c r="A18" s="471">
        <f>SÖZLEŞME!Y7</f>
        <v>0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343" t="s">
        <v>321</v>
      </c>
      <c r="Z18" s="470">
        <f>SÖZLEŞME!AA17</f>
        <v>0</v>
      </c>
      <c r="AA18" s="470"/>
      <c r="AB18" s="470"/>
      <c r="AC18" s="470"/>
      <c r="AD18" s="470"/>
      <c r="AE18" s="132" t="s">
        <v>322</v>
      </c>
      <c r="AH18" s="470">
        <f>SÖZLEŞME!AF17</f>
        <v>0</v>
      </c>
      <c r="AI18" s="470"/>
      <c r="AJ18" s="470"/>
      <c r="AK18" s="132" t="s">
        <v>182</v>
      </c>
      <c r="AN18" s="470">
        <f>SÖZLEŞME!AJ17</f>
        <v>0</v>
      </c>
      <c r="AO18" s="470"/>
      <c r="AP18" s="470"/>
      <c r="AQ18" s="343" t="s">
        <v>324</v>
      </c>
    </row>
    <row r="19" spans="1:38" s="132" customFormat="1" ht="14.25" customHeight="1">
      <c r="A19" s="132" t="s">
        <v>340</v>
      </c>
      <c r="AL19" s="343"/>
    </row>
    <row r="20" spans="1:38" s="132" customFormat="1" ht="14.25" customHeight="1">
      <c r="A20" s="132" t="s">
        <v>341</v>
      </c>
      <c r="AL20" s="343"/>
    </row>
    <row r="21" spans="1:38" s="132" customFormat="1" ht="14.25" customHeight="1">
      <c r="A21" s="132" t="s">
        <v>342</v>
      </c>
      <c r="AL21" s="343"/>
    </row>
    <row r="22" spans="1:16" s="132" customFormat="1" ht="14.25" customHeight="1">
      <c r="A22" s="132" t="s">
        <v>343</v>
      </c>
      <c r="K22" s="474">
        <f>'TUS TAAHHÜNAMESİ'!AJ23</f>
        <v>39764.49242037037</v>
      </c>
      <c r="L22" s="474"/>
      <c r="M22" s="474"/>
      <c r="N22" s="474"/>
      <c r="O22" s="474"/>
      <c r="P22" s="474"/>
    </row>
    <row r="23" s="132" customFormat="1" ht="14.25" customHeight="1">
      <c r="AL23" s="343"/>
    </row>
    <row r="24" s="132" customFormat="1" ht="14.25" customHeight="1"/>
    <row r="25" s="132" customFormat="1" ht="14.25" customHeight="1"/>
    <row r="26" spans="1:37" s="132" customFormat="1" ht="14.25" customHeight="1">
      <c r="A26" s="132" t="s">
        <v>344</v>
      </c>
      <c r="Z26" s="470" t="s">
        <v>333</v>
      </c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</row>
    <row r="27" spans="1:37" s="132" customFormat="1" ht="14.25" customHeight="1">
      <c r="A27" s="132" t="s">
        <v>334</v>
      </c>
      <c r="L27" s="132" t="s">
        <v>101</v>
      </c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Z27" s="470" t="s">
        <v>335</v>
      </c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</row>
    <row r="28" spans="1:17" s="132" customFormat="1" ht="14.25" customHeight="1">
      <c r="A28" s="132" t="s">
        <v>336</v>
      </c>
      <c r="L28" s="132" t="s">
        <v>101</v>
      </c>
      <c r="M28" s="472"/>
      <c r="N28" s="472"/>
      <c r="O28" s="472"/>
      <c r="P28" s="472"/>
      <c r="Q28" s="472"/>
    </row>
    <row r="29" spans="1:12" s="132" customFormat="1" ht="14.25" customHeight="1">
      <c r="A29" s="132" t="s">
        <v>337</v>
      </c>
      <c r="L29" s="132" t="s">
        <v>101</v>
      </c>
    </row>
    <row r="30" spans="41:46" s="132" customFormat="1" ht="15" customHeight="1">
      <c r="AO30" s="100"/>
      <c r="AP30" s="100"/>
      <c r="AQ30" s="100"/>
      <c r="AR30" s="100"/>
      <c r="AS30" s="100"/>
      <c r="AT30" s="100"/>
    </row>
    <row r="31" spans="41:46" s="132" customFormat="1" ht="15" customHeight="1">
      <c r="AO31" s="100"/>
      <c r="AP31" s="100"/>
      <c r="AQ31" s="100"/>
      <c r="AR31" s="100"/>
      <c r="AS31" s="100"/>
      <c r="AT31" s="100"/>
    </row>
    <row r="32" s="100" customFormat="1" ht="15" customHeight="1"/>
    <row r="33" s="100" customFormat="1" ht="15" customHeight="1"/>
    <row r="34" s="100" customFormat="1" ht="15" customHeight="1"/>
    <row r="35" s="100" customFormat="1" ht="15" customHeight="1"/>
    <row r="36" s="100" customFormat="1" ht="15" customHeight="1"/>
    <row r="37" s="100" customFormat="1" ht="15" customHeight="1"/>
    <row r="38" s="100" customFormat="1" ht="15" customHeight="1"/>
    <row r="39" s="100" customFormat="1" ht="15" customHeight="1"/>
    <row r="40" s="100" customFormat="1" ht="15" customHeight="1"/>
    <row r="41" s="100" customFormat="1" ht="15" customHeight="1"/>
    <row r="42" s="100" customFormat="1" ht="15" customHeight="1"/>
    <row r="43" s="100" customFormat="1" ht="15" customHeight="1"/>
    <row r="44" s="100" customFormat="1" ht="15" customHeight="1"/>
    <row r="45" s="100" customFormat="1" ht="15" customHeight="1"/>
    <row r="46" s="100" customFormat="1" ht="15" customHeight="1"/>
    <row r="47" s="100" customFormat="1" ht="15" customHeight="1"/>
    <row r="48" s="100" customFormat="1" ht="15" customHeight="1"/>
    <row r="49" s="100" customFormat="1" ht="15" customHeight="1"/>
    <row r="50" s="100" customFormat="1" ht="15" customHeight="1"/>
    <row r="51" s="100" customFormat="1" ht="15" customHeight="1"/>
    <row r="52" s="100" customFormat="1" ht="15" customHeight="1"/>
    <row r="53" s="100" customFormat="1" ht="15" customHeight="1"/>
    <row r="54" s="100" customFormat="1" ht="15" customHeight="1"/>
    <row r="55" s="100" customFormat="1" ht="15" customHeight="1"/>
    <row r="56" s="100" customFormat="1" ht="15" customHeight="1"/>
    <row r="57" s="100" customFormat="1" ht="15" customHeight="1"/>
    <row r="58" s="100" customFormat="1" ht="15" customHeight="1"/>
    <row r="59" s="100" customFormat="1" ht="15" customHeight="1"/>
    <row r="60" s="100" customFormat="1" ht="15" customHeight="1"/>
    <row r="61" s="100" customFormat="1" ht="15" customHeight="1"/>
    <row r="62" spans="41:46" s="100" customFormat="1" ht="15" customHeight="1">
      <c r="AO62"/>
      <c r="AP62"/>
      <c r="AQ62"/>
      <c r="AR62"/>
      <c r="AS62"/>
      <c r="AT62"/>
    </row>
    <row r="63" spans="41:46" s="100" customFormat="1" ht="15" customHeight="1">
      <c r="AO63"/>
      <c r="AP63"/>
      <c r="AQ63"/>
      <c r="AR63"/>
      <c r="AS63"/>
      <c r="AT63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13">
    <mergeCell ref="M28:Q28"/>
    <mergeCell ref="K22:P22"/>
    <mergeCell ref="Z26:AK26"/>
    <mergeCell ref="M27:V27"/>
    <mergeCell ref="Z27:AK27"/>
    <mergeCell ref="A18:P18"/>
    <mergeCell ref="Z18:AD18"/>
    <mergeCell ref="AH18:AJ18"/>
    <mergeCell ref="AN18:AP18"/>
    <mergeCell ref="A14:AL14"/>
    <mergeCell ref="H17:K17"/>
    <mergeCell ref="O17:V17"/>
    <mergeCell ref="AB17:AJ17"/>
  </mergeCells>
  <printOptions/>
  <pageMargins left="0.7298611111111112" right="0.1798611111111111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7"/>
  <sheetViews>
    <sheetView showZeros="0" workbookViewId="0" topLeftCell="A1">
      <selection activeCell="AU5" sqref="AU5"/>
    </sheetView>
  </sheetViews>
  <sheetFormatPr defaultColWidth="9.140625" defaultRowHeight="12.75"/>
  <cols>
    <col min="1" max="1" width="1.1484375" style="0" customWidth="1"/>
    <col min="2" max="50" width="2.00390625" style="0" customWidth="1"/>
    <col min="51" max="51" width="0.9921875" style="0" customWidth="1"/>
    <col min="52" max="16384" width="2.00390625" style="0" customWidth="1"/>
  </cols>
  <sheetData>
    <row r="1" spans="1:5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</row>
    <row r="2" spans="1:51" ht="7.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5"/>
    </row>
    <row r="3" spans="1:51" ht="18">
      <c r="A3" s="4"/>
      <c r="B3" s="344" t="s">
        <v>0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 t="s">
        <v>1</v>
      </c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5"/>
    </row>
    <row r="4" spans="1:52" ht="24.75" customHeight="1">
      <c r="A4" s="4"/>
      <c r="B4" s="345" t="s">
        <v>2</v>
      </c>
      <c r="C4" s="345"/>
      <c r="D4" s="345"/>
      <c r="E4" s="345"/>
      <c r="F4" s="345"/>
      <c r="G4" s="345"/>
      <c r="H4" s="345"/>
      <c r="I4" s="345"/>
      <c r="J4" s="345"/>
      <c r="K4" s="346" t="s">
        <v>3</v>
      </c>
      <c r="L4" s="346"/>
      <c r="M4" s="346"/>
      <c r="N4" s="346"/>
      <c r="O4" s="346"/>
      <c r="P4" s="347" t="s">
        <v>4</v>
      </c>
      <c r="Q4" s="347"/>
      <c r="R4" s="347"/>
      <c r="S4" s="347"/>
      <c r="T4" s="347"/>
      <c r="U4" s="348" t="s">
        <v>5</v>
      </c>
      <c r="V4" s="348"/>
      <c r="W4" s="348"/>
      <c r="X4" s="348"/>
      <c r="Y4" s="345" t="s">
        <v>2</v>
      </c>
      <c r="Z4" s="345"/>
      <c r="AA4" s="345"/>
      <c r="AB4" s="345"/>
      <c r="AC4" s="345"/>
      <c r="AD4" s="345"/>
      <c r="AE4" s="345"/>
      <c r="AF4" s="345"/>
      <c r="AG4" s="345"/>
      <c r="AH4" s="346" t="s">
        <v>3</v>
      </c>
      <c r="AI4" s="346"/>
      <c r="AJ4" s="346"/>
      <c r="AK4" s="346"/>
      <c r="AL4" s="346"/>
      <c r="AM4" s="346" t="s">
        <v>4</v>
      </c>
      <c r="AN4" s="346"/>
      <c r="AO4" s="346"/>
      <c r="AP4" s="346"/>
      <c r="AQ4" s="346"/>
      <c r="AR4" s="346"/>
      <c r="AS4" s="346"/>
      <c r="AT4" s="346"/>
      <c r="AU4" s="349" t="s">
        <v>6</v>
      </c>
      <c r="AV4" s="349"/>
      <c r="AW4" s="349"/>
      <c r="AX4" s="349"/>
      <c r="AY4" s="6"/>
      <c r="AZ4" s="7"/>
    </row>
    <row r="5" spans="1:52" ht="24.75" customHeight="1">
      <c r="A5" s="4"/>
      <c r="B5" s="345"/>
      <c r="C5" s="345"/>
      <c r="D5" s="345"/>
      <c r="E5" s="345"/>
      <c r="F5" s="345"/>
      <c r="G5" s="345"/>
      <c r="H5" s="345"/>
      <c r="I5" s="345"/>
      <c r="J5" s="345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50"/>
      <c r="V5" s="350"/>
      <c r="W5" s="350"/>
      <c r="X5" s="350"/>
      <c r="Y5" s="345"/>
      <c r="Z5" s="345"/>
      <c r="AA5" s="345"/>
      <c r="AB5" s="345"/>
      <c r="AC5" s="345"/>
      <c r="AD5" s="345"/>
      <c r="AE5" s="345"/>
      <c r="AF5" s="345"/>
      <c r="AG5" s="345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50"/>
      <c r="AV5" s="350"/>
      <c r="AW5" s="350"/>
      <c r="AX5" s="350"/>
      <c r="AY5" s="6"/>
      <c r="AZ5" s="7"/>
    </row>
    <row r="6" spans="1:51" ht="12.75">
      <c r="A6" s="4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  <c r="AY6" s="5"/>
    </row>
    <row r="7" spans="1:51" ht="12.75">
      <c r="A7" s="4"/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5"/>
      <c r="Y7" s="4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5"/>
      <c r="AY7" s="5"/>
    </row>
    <row r="8" spans="1:51" ht="12.75">
      <c r="A8" s="4"/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5"/>
      <c r="Y8" s="4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5"/>
      <c r="AY8" s="5"/>
    </row>
    <row r="9" spans="1:51" ht="12.75">
      <c r="A9" s="4"/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"/>
      <c r="Y9" s="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5"/>
      <c r="AY9" s="5"/>
    </row>
    <row r="10" spans="1:51" ht="12.75">
      <c r="A10" s="4"/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5"/>
      <c r="Y10" s="4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5"/>
      <c r="AY10" s="5"/>
    </row>
    <row r="11" spans="1:51" ht="12.75">
      <c r="A11" s="4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5"/>
      <c r="Y11" s="4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5"/>
      <c r="AY11" s="5"/>
    </row>
    <row r="12" spans="1:51" ht="12.75">
      <c r="A12" s="4"/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5"/>
      <c r="Y12" s="4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5"/>
      <c r="AY12" s="5"/>
    </row>
    <row r="13" spans="1:51" ht="12.75">
      <c r="A13" s="4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5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4"/>
      <c r="AY13" s="5"/>
    </row>
    <row r="14" spans="1:51" ht="6" customHeight="1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5"/>
    </row>
    <row r="15" spans="1:51" ht="34.5" customHeight="1">
      <c r="A15" s="4"/>
      <c r="B15" s="351" t="s">
        <v>7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2" t="s">
        <v>8</v>
      </c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5"/>
    </row>
    <row r="16" spans="1:51" ht="12.75">
      <c r="A16" s="4"/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"/>
      <c r="Y16" s="4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5"/>
      <c r="AY16" s="5"/>
    </row>
    <row r="17" spans="1:51" ht="12.75">
      <c r="A17" s="4"/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5"/>
      <c r="Y17" s="4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5"/>
      <c r="AY17" s="5"/>
    </row>
    <row r="18" spans="1:51" ht="12.75">
      <c r="A18" s="4"/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5"/>
      <c r="Y18" s="4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5"/>
      <c r="AY18" s="5"/>
    </row>
    <row r="19" spans="1:51" ht="12.75">
      <c r="A19" s="4"/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5"/>
      <c r="Y19" s="4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5"/>
      <c r="AY19" s="5"/>
    </row>
    <row r="20" spans="1:51" ht="12.75">
      <c r="A20" s="4"/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5"/>
      <c r="Y20" s="4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5"/>
      <c r="AY20" s="5"/>
    </row>
    <row r="21" spans="1:51" ht="12.75">
      <c r="A21" s="4"/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5"/>
      <c r="Y21" s="4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5"/>
      <c r="AY21" s="5"/>
    </row>
    <row r="22" spans="1:51" ht="12.75">
      <c r="A22" s="4"/>
      <c r="B22" s="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5"/>
      <c r="Y22" s="4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5"/>
      <c r="AY22" s="5"/>
    </row>
    <row r="23" spans="1:51" ht="12.75">
      <c r="A23" s="4"/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"/>
      <c r="Y23" s="4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5"/>
      <c r="AY23" s="5"/>
    </row>
    <row r="24" spans="1:51" ht="12.75">
      <c r="A24" s="4"/>
      <c r="B24" s="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5"/>
      <c r="Y24" s="4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5"/>
      <c r="AY24" s="5"/>
    </row>
    <row r="25" spans="1:51" ht="12.75">
      <c r="A25" s="4"/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5"/>
      <c r="Y25" s="4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5"/>
      <c r="AY25" s="5"/>
    </row>
    <row r="26" spans="1:51" ht="12.75">
      <c r="A26" s="4"/>
      <c r="B26" s="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5"/>
      <c r="Y26" s="4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5"/>
      <c r="AY26" s="5"/>
    </row>
    <row r="27" spans="1:51" ht="12.75">
      <c r="A27" s="4"/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"/>
      <c r="Y27" s="4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5"/>
      <c r="AY27" s="5"/>
    </row>
    <row r="28" spans="1:51" ht="12.75" customHeight="1">
      <c r="A28" s="4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2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4"/>
      <c r="AY28" s="5"/>
    </row>
    <row r="29" spans="1:51" ht="6" customHeight="1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5"/>
    </row>
    <row r="30" spans="1:51" ht="12.75" customHeight="1">
      <c r="A30" s="4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3"/>
      <c r="AY30" s="5"/>
    </row>
    <row r="31" spans="1:51" ht="12.75" customHeight="1">
      <c r="A31" s="4"/>
      <c r="B31" s="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1"/>
      <c r="AR31" s="11"/>
      <c r="AS31" s="11"/>
      <c r="AT31" s="11"/>
      <c r="AU31" s="11"/>
      <c r="AV31" s="11"/>
      <c r="AW31" s="11"/>
      <c r="AX31" s="5"/>
      <c r="AY31" s="5"/>
    </row>
    <row r="32" spans="1:51" ht="12.75" customHeight="1">
      <c r="A32" s="4"/>
      <c r="B32" s="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1"/>
      <c r="AR32" s="11"/>
      <c r="AS32" s="11"/>
      <c r="AT32" s="11"/>
      <c r="AU32" s="11"/>
      <c r="AV32" s="11"/>
      <c r="AW32" s="11"/>
      <c r="AX32" s="5"/>
      <c r="AY32" s="5"/>
    </row>
    <row r="33" spans="1:51" ht="12.75" customHeight="1">
      <c r="A33" s="4"/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1"/>
      <c r="AR33" s="11"/>
      <c r="AS33" s="11"/>
      <c r="AT33" s="11"/>
      <c r="AU33" s="11"/>
      <c r="AV33" s="11"/>
      <c r="AW33" s="11"/>
      <c r="AX33" s="5"/>
      <c r="AY33" s="5"/>
    </row>
    <row r="34" spans="1:51" ht="10.5" customHeight="1">
      <c r="A34" s="4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5"/>
      <c r="AY34" s="5"/>
    </row>
    <row r="35" spans="1:51" ht="12.75" customHeight="1">
      <c r="A35" s="4"/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1"/>
      <c r="AR35" s="11"/>
      <c r="AS35" s="11"/>
      <c r="AT35" s="11"/>
      <c r="AU35" s="11"/>
      <c r="AV35" s="11"/>
      <c r="AW35" s="11"/>
      <c r="AX35" s="5"/>
      <c r="AY35" s="5"/>
    </row>
    <row r="36" spans="1:51" ht="12.75" customHeight="1">
      <c r="A36" s="4"/>
      <c r="B36" s="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1"/>
      <c r="AR36" s="11"/>
      <c r="AS36" s="11"/>
      <c r="AT36" s="11"/>
      <c r="AU36" s="11"/>
      <c r="AV36" s="11"/>
      <c r="AW36" s="11"/>
      <c r="AX36" s="5"/>
      <c r="AY36" s="5"/>
    </row>
    <row r="37" spans="1:51" ht="14.25" customHeight="1">
      <c r="A37" s="4"/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8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18"/>
      <c r="AQ37" s="11"/>
      <c r="AR37" s="11"/>
      <c r="AS37" s="11"/>
      <c r="AT37" s="11"/>
      <c r="AU37" s="11"/>
      <c r="AV37" s="11"/>
      <c r="AW37" s="11"/>
      <c r="AX37" s="5"/>
      <c r="AY37" s="5"/>
    </row>
    <row r="38" spans="1:51" ht="14.25">
      <c r="A38" s="4"/>
      <c r="B38" s="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/>
      <c r="AQ38" s="11"/>
      <c r="AR38" s="11"/>
      <c r="AS38" s="11"/>
      <c r="AT38" s="11"/>
      <c r="AU38" s="11"/>
      <c r="AV38" s="11"/>
      <c r="AW38" s="11"/>
      <c r="AX38" s="5"/>
      <c r="AY38" s="5"/>
    </row>
    <row r="39" spans="1:51" ht="14.25" customHeight="1">
      <c r="A39" s="4"/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8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1"/>
      <c r="AR39" s="11"/>
      <c r="AS39" s="11"/>
      <c r="AT39" s="11"/>
      <c r="AU39" s="11"/>
      <c r="AV39" s="11"/>
      <c r="AW39" s="11"/>
      <c r="AX39" s="5"/>
      <c r="AY39" s="5"/>
    </row>
    <row r="40" spans="1:51" ht="12.75">
      <c r="A40" s="4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4"/>
      <c r="AY40" s="5"/>
    </row>
    <row r="41" spans="1:51" ht="6" customHeight="1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5"/>
    </row>
    <row r="42" spans="1:51" ht="15" customHeight="1">
      <c r="A42" s="4"/>
      <c r="B42" s="353" t="s">
        <v>31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5"/>
    </row>
    <row r="43" spans="1:51" ht="12.75">
      <c r="A43" s="4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5"/>
    </row>
    <row r="44" spans="1:51" ht="6.75" customHeight="1">
      <c r="A44" s="4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4"/>
      <c r="AY44" s="5"/>
    </row>
    <row r="45" spans="1:51" ht="6" customHeight="1">
      <c r="A45" s="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5"/>
    </row>
    <row r="46" spans="1:51" ht="18.75" customHeight="1">
      <c r="A46" s="4"/>
      <c r="B46" s="354" t="s">
        <v>10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5"/>
    </row>
    <row r="47" spans="1:51" ht="19.5" customHeight="1">
      <c r="A47" s="4"/>
      <c r="B47" s="345" t="s">
        <v>11</v>
      </c>
      <c r="C47" s="345"/>
      <c r="D47" s="345"/>
      <c r="E47" s="345"/>
      <c r="F47" s="345"/>
      <c r="G47" s="346" t="s">
        <v>12</v>
      </c>
      <c r="H47" s="346"/>
      <c r="I47" s="346"/>
      <c r="J47" s="346"/>
      <c r="K47" s="346"/>
      <c r="L47" s="346" t="s">
        <v>13</v>
      </c>
      <c r="M47" s="346"/>
      <c r="N47" s="346"/>
      <c r="O47" s="346"/>
      <c r="P47" s="346"/>
      <c r="Q47" s="346"/>
      <c r="R47" s="346"/>
      <c r="S47" s="346"/>
      <c r="T47" s="346"/>
      <c r="U47" s="346" t="s">
        <v>14</v>
      </c>
      <c r="V47" s="346"/>
      <c r="W47" s="346"/>
      <c r="X47" s="346"/>
      <c r="Y47" s="346"/>
      <c r="Z47" s="346"/>
      <c r="AA47" s="346"/>
      <c r="AB47" s="346"/>
      <c r="AC47" s="346"/>
      <c r="AD47" s="346"/>
      <c r="AE47" s="346" t="s">
        <v>15</v>
      </c>
      <c r="AF47" s="346"/>
      <c r="AG47" s="346"/>
      <c r="AH47" s="346"/>
      <c r="AI47" s="346" t="s">
        <v>16</v>
      </c>
      <c r="AJ47" s="346"/>
      <c r="AK47" s="346"/>
      <c r="AL47" s="346"/>
      <c r="AM47" s="346"/>
      <c r="AN47" s="346" t="s">
        <v>17</v>
      </c>
      <c r="AO47" s="346"/>
      <c r="AP47" s="346"/>
      <c r="AQ47" s="346"/>
      <c r="AR47" s="355" t="s">
        <v>18</v>
      </c>
      <c r="AS47" s="355"/>
      <c r="AT47" s="355"/>
      <c r="AU47" s="355"/>
      <c r="AV47" s="355"/>
      <c r="AW47" s="355"/>
      <c r="AX47" s="355"/>
      <c r="AY47" s="5"/>
    </row>
    <row r="48" spans="1:51" ht="19.5" customHeight="1">
      <c r="A48" s="4"/>
      <c r="B48" s="356">
        <f>SÖZLEŞME!B17</f>
        <v>0</v>
      </c>
      <c r="C48" s="356"/>
      <c r="D48" s="356"/>
      <c r="E48" s="356"/>
      <c r="F48" s="356"/>
      <c r="G48" s="357">
        <f>SÖZLEŞME!G17</f>
        <v>0</v>
      </c>
      <c r="H48" s="357"/>
      <c r="I48" s="357"/>
      <c r="J48" s="357"/>
      <c r="K48" s="357"/>
      <c r="L48" s="357">
        <f>SÖZLEŞME!K17</f>
        <v>0</v>
      </c>
      <c r="M48" s="357"/>
      <c r="N48" s="357"/>
      <c r="O48" s="357"/>
      <c r="P48" s="357"/>
      <c r="Q48" s="357"/>
      <c r="R48" s="357"/>
      <c r="S48" s="357"/>
      <c r="T48" s="357"/>
      <c r="U48" s="357">
        <f>SÖZLEŞME!R17</f>
        <v>0</v>
      </c>
      <c r="V48" s="357"/>
      <c r="W48" s="357"/>
      <c r="X48" s="357"/>
      <c r="Y48" s="357"/>
      <c r="Z48" s="357"/>
      <c r="AA48" s="357"/>
      <c r="AB48" s="357"/>
      <c r="AC48" s="357"/>
      <c r="AD48" s="357"/>
      <c r="AE48" s="358">
        <f>SÖZLEŞME!AA17</f>
        <v>0</v>
      </c>
      <c r="AF48" s="358"/>
      <c r="AG48" s="358"/>
      <c r="AH48" s="358"/>
      <c r="AI48" s="357">
        <f>SÖZLEŞME!AF17</f>
        <v>0</v>
      </c>
      <c r="AJ48" s="357"/>
      <c r="AK48" s="357"/>
      <c r="AL48" s="357"/>
      <c r="AM48" s="357"/>
      <c r="AN48" s="358">
        <f>SÖZLEŞME!AJ17</f>
        <v>0</v>
      </c>
      <c r="AO48" s="358"/>
      <c r="AP48" s="358"/>
      <c r="AQ48" s="358"/>
      <c r="AR48" s="355"/>
      <c r="AS48" s="355"/>
      <c r="AT48" s="355"/>
      <c r="AU48" s="355"/>
      <c r="AV48" s="355"/>
      <c r="AW48" s="355"/>
      <c r="AX48" s="355"/>
      <c r="AY48" s="5"/>
    </row>
    <row r="49" spans="1:51" ht="20.25">
      <c r="A49" s="4"/>
      <c r="B49" s="359" t="s">
        <v>19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60">
        <f>SÖZLEŞME!Y7</f>
        <v>0</v>
      </c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1" t="s">
        <v>20</v>
      </c>
      <c r="AS49" s="361"/>
      <c r="AT49" s="361"/>
      <c r="AU49" s="361"/>
      <c r="AV49" s="361"/>
      <c r="AW49" s="361"/>
      <c r="AX49" s="361"/>
      <c r="AY49" s="5"/>
    </row>
    <row r="50" spans="1:51" ht="17.25" customHeight="1">
      <c r="A50" s="4"/>
      <c r="B50" s="362" t="s">
        <v>21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3">
        <f>SÖZLEŞME!Y8</f>
        <v>0</v>
      </c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4"/>
      <c r="AS50" s="364"/>
      <c r="AT50" s="364"/>
      <c r="AU50" s="364"/>
      <c r="AV50" s="364"/>
      <c r="AW50" s="364"/>
      <c r="AX50" s="364"/>
      <c r="AY50" s="5"/>
    </row>
    <row r="51" spans="1:51" ht="6" customHeight="1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5"/>
    </row>
    <row r="52" spans="1:51" ht="15">
      <c r="A52" s="4"/>
      <c r="B52" s="365" t="s">
        <v>22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5"/>
    </row>
    <row r="53" spans="1:51" ht="45" customHeight="1">
      <c r="A53" s="4"/>
      <c r="B53" s="366" t="s">
        <v>23</v>
      </c>
      <c r="C53" s="366"/>
      <c r="D53" s="366"/>
      <c r="E53" s="366"/>
      <c r="F53" s="366"/>
      <c r="G53" s="367" t="s">
        <v>24</v>
      </c>
      <c r="H53" s="367"/>
      <c r="I53" s="367"/>
      <c r="J53" s="367"/>
      <c r="K53" s="367"/>
      <c r="L53" s="367" t="s">
        <v>25</v>
      </c>
      <c r="M53" s="367"/>
      <c r="N53" s="367"/>
      <c r="O53" s="367"/>
      <c r="P53" s="367"/>
      <c r="Q53" s="367"/>
      <c r="R53" s="367"/>
      <c r="S53" s="367"/>
      <c r="T53" s="367"/>
      <c r="U53" s="367" t="s">
        <v>26</v>
      </c>
      <c r="V53" s="367"/>
      <c r="W53" s="367"/>
      <c r="X53" s="367"/>
      <c r="Y53" s="367"/>
      <c r="Z53" s="367"/>
      <c r="AA53" s="367"/>
      <c r="AB53" s="367"/>
      <c r="AC53" s="367"/>
      <c r="AD53" s="367" t="s">
        <v>27</v>
      </c>
      <c r="AE53" s="367"/>
      <c r="AF53" s="367"/>
      <c r="AG53" s="367"/>
      <c r="AH53" s="367"/>
      <c r="AI53" s="367" t="s">
        <v>28</v>
      </c>
      <c r="AJ53" s="367"/>
      <c r="AK53" s="367"/>
      <c r="AL53" s="367"/>
      <c r="AM53" s="367"/>
      <c r="AN53" s="367" t="s">
        <v>29</v>
      </c>
      <c r="AO53" s="367"/>
      <c r="AP53" s="367"/>
      <c r="AQ53" s="367"/>
      <c r="AR53" s="368" t="s">
        <v>30</v>
      </c>
      <c r="AS53" s="368"/>
      <c r="AT53" s="368"/>
      <c r="AU53" s="368"/>
      <c r="AV53" s="368"/>
      <c r="AW53" s="368"/>
      <c r="AX53" s="368"/>
      <c r="AY53" s="5"/>
    </row>
    <row r="54" spans="1:51" ht="6.75" customHeight="1">
      <c r="A54" s="4"/>
      <c r="B54" s="369"/>
      <c r="C54" s="369"/>
      <c r="D54" s="369"/>
      <c r="E54" s="369"/>
      <c r="F54" s="369"/>
      <c r="G54" s="370">
        <f>'ASGARİ ÜCRET FORMU'!F22</f>
        <v>2</v>
      </c>
      <c r="H54" s="370"/>
      <c r="I54" s="370"/>
      <c r="J54" s="370"/>
      <c r="K54" s="370"/>
      <c r="L54" s="371">
        <f>'ASGARİ ÜCRET FORMU'!C28</f>
        <v>230</v>
      </c>
      <c r="M54" s="371"/>
      <c r="N54" s="371"/>
      <c r="O54" s="371"/>
      <c r="P54" s="371"/>
      <c r="Q54" s="371"/>
      <c r="R54" s="371"/>
      <c r="S54" s="371"/>
      <c r="T54" s="371"/>
      <c r="U54" s="370">
        <f>SÖZLEŞME!G26</f>
        <v>1</v>
      </c>
      <c r="V54" s="370"/>
      <c r="W54" s="370"/>
      <c r="X54" s="370"/>
      <c r="Y54" s="370"/>
      <c r="Z54" s="370"/>
      <c r="AA54" s="370"/>
      <c r="AB54" s="370"/>
      <c r="AC54" s="370"/>
      <c r="AD54" s="370">
        <f>SÖZLEŞME!M26</f>
        <v>1</v>
      </c>
      <c r="AE54" s="370"/>
      <c r="AF54" s="370"/>
      <c r="AG54" s="370"/>
      <c r="AH54" s="370"/>
      <c r="AI54" s="370">
        <f>SÖZLEŞME!Q26</f>
        <v>360</v>
      </c>
      <c r="AJ54" s="370"/>
      <c r="AK54" s="370"/>
      <c r="AL54" s="370"/>
      <c r="AM54" s="370"/>
      <c r="AN54" s="370">
        <f>SÖZLEŞME!AG26</f>
        <v>9</v>
      </c>
      <c r="AO54" s="370"/>
      <c r="AP54" s="370"/>
      <c r="AQ54" s="370"/>
      <c r="AR54" s="372">
        <f>SÖZLEŞME!B26</f>
        <v>0</v>
      </c>
      <c r="AS54" s="372"/>
      <c r="AT54" s="372"/>
      <c r="AU54" s="372"/>
      <c r="AV54" s="372"/>
      <c r="AW54" s="372"/>
      <c r="AX54" s="372"/>
      <c r="AY54" s="5"/>
    </row>
    <row r="55" spans="1:51" ht="12.75">
      <c r="A55" s="4"/>
      <c r="B55" s="369"/>
      <c r="C55" s="369"/>
      <c r="D55" s="369"/>
      <c r="E55" s="369"/>
      <c r="F55" s="369"/>
      <c r="G55" s="370"/>
      <c r="H55" s="370"/>
      <c r="I55" s="370"/>
      <c r="J55" s="370"/>
      <c r="K55" s="370"/>
      <c r="L55" s="371"/>
      <c r="M55" s="371"/>
      <c r="N55" s="371"/>
      <c r="O55" s="371"/>
      <c r="P55" s="371"/>
      <c r="Q55" s="371"/>
      <c r="R55" s="371"/>
      <c r="S55" s="371"/>
      <c r="T55" s="371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2"/>
      <c r="AS55" s="372"/>
      <c r="AT55" s="372"/>
      <c r="AU55" s="372"/>
      <c r="AV55" s="372"/>
      <c r="AW55" s="372"/>
      <c r="AX55" s="372"/>
      <c r="AY55" s="5"/>
    </row>
    <row r="56" spans="1:51" ht="6.75" customHeight="1">
      <c r="A56" s="4"/>
      <c r="B56" s="369"/>
      <c r="C56" s="369"/>
      <c r="D56" s="369"/>
      <c r="E56" s="369"/>
      <c r="F56" s="369"/>
      <c r="G56" s="370"/>
      <c r="H56" s="370"/>
      <c r="I56" s="370"/>
      <c r="J56" s="370"/>
      <c r="K56" s="370"/>
      <c r="L56" s="371"/>
      <c r="M56" s="371"/>
      <c r="N56" s="371"/>
      <c r="O56" s="371"/>
      <c r="P56" s="371"/>
      <c r="Q56" s="371"/>
      <c r="R56" s="371"/>
      <c r="S56" s="371"/>
      <c r="T56" s="371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2"/>
      <c r="AS56" s="372"/>
      <c r="AT56" s="372"/>
      <c r="AU56" s="372"/>
      <c r="AV56" s="372"/>
      <c r="AW56" s="372"/>
      <c r="AX56" s="372"/>
      <c r="AY56" s="5"/>
    </row>
    <row r="57" spans="1:51" ht="7.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4"/>
    </row>
    <row r="58" ht="6.75" customHeight="1"/>
  </sheetData>
  <mergeCells count="61">
    <mergeCell ref="AD54:AH56"/>
    <mergeCell ref="AI54:AM56"/>
    <mergeCell ref="AN54:AQ56"/>
    <mergeCell ref="AR54:AX56"/>
    <mergeCell ref="B54:F56"/>
    <mergeCell ref="G54:K56"/>
    <mergeCell ref="L54:T56"/>
    <mergeCell ref="U54:AC56"/>
    <mergeCell ref="B52:AX52"/>
    <mergeCell ref="B53:F53"/>
    <mergeCell ref="G53:K53"/>
    <mergeCell ref="L53:T53"/>
    <mergeCell ref="U53:AC53"/>
    <mergeCell ref="AD53:AH53"/>
    <mergeCell ref="AI53:AM53"/>
    <mergeCell ref="AN53:AQ53"/>
    <mergeCell ref="AR53:AX53"/>
    <mergeCell ref="B49:K49"/>
    <mergeCell ref="L49:AQ49"/>
    <mergeCell ref="AR49:AX49"/>
    <mergeCell ref="B50:K50"/>
    <mergeCell ref="L50:AQ50"/>
    <mergeCell ref="AR50:AX50"/>
    <mergeCell ref="AE48:AH48"/>
    <mergeCell ref="AI48:AM48"/>
    <mergeCell ref="AN48:AQ48"/>
    <mergeCell ref="AR48:AX48"/>
    <mergeCell ref="B48:F48"/>
    <mergeCell ref="G48:K48"/>
    <mergeCell ref="L48:T48"/>
    <mergeCell ref="U48:AD48"/>
    <mergeCell ref="AE47:AH47"/>
    <mergeCell ref="AI47:AM47"/>
    <mergeCell ref="AN47:AQ47"/>
    <mergeCell ref="AR47:AX47"/>
    <mergeCell ref="B47:F47"/>
    <mergeCell ref="G47:K47"/>
    <mergeCell ref="L47:T47"/>
    <mergeCell ref="U47:AD47"/>
    <mergeCell ref="B15:X15"/>
    <mergeCell ref="Y15:AX15"/>
    <mergeCell ref="B42:AX43"/>
    <mergeCell ref="B46:AX46"/>
    <mergeCell ref="Y5:AG5"/>
    <mergeCell ref="AH5:AL5"/>
    <mergeCell ref="AM5:AT5"/>
    <mergeCell ref="AU5:AX5"/>
    <mergeCell ref="B5:J5"/>
    <mergeCell ref="K5:O5"/>
    <mergeCell ref="P5:T5"/>
    <mergeCell ref="U5:X5"/>
    <mergeCell ref="B3:X3"/>
    <mergeCell ref="Y3:AX3"/>
    <mergeCell ref="B4:J4"/>
    <mergeCell ref="K4:O4"/>
    <mergeCell ref="P4:T4"/>
    <mergeCell ref="U4:X4"/>
    <mergeCell ref="Y4:AG4"/>
    <mergeCell ref="AH4:AL4"/>
    <mergeCell ref="AM4:AT4"/>
    <mergeCell ref="AU4:AX4"/>
  </mergeCells>
  <printOptions/>
  <pageMargins left="0.2701388888888889" right="0.25" top="0.4902777777777778" bottom="0.5097222222222222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7"/>
  <sheetViews>
    <sheetView showZeros="0" workbookViewId="0" topLeftCell="A34">
      <selection activeCell="BP6" sqref="BP6"/>
    </sheetView>
  </sheetViews>
  <sheetFormatPr defaultColWidth="9.140625" defaultRowHeight="12.75"/>
  <cols>
    <col min="1" max="1" width="1.1484375" style="0" customWidth="1"/>
    <col min="2" max="50" width="2.00390625" style="0" customWidth="1"/>
    <col min="51" max="51" width="0.9921875" style="0" customWidth="1"/>
    <col min="52" max="16384" width="2.00390625" style="0" customWidth="1"/>
  </cols>
  <sheetData>
    <row r="1" spans="1:5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</row>
    <row r="2" spans="1:51" ht="7.5" customHeight="1">
      <c r="A2" s="4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"/>
      <c r="AY2" s="5"/>
    </row>
    <row r="3" spans="1:51" ht="18">
      <c r="A3" s="4"/>
      <c r="B3" s="344" t="s">
        <v>0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 t="s">
        <v>1</v>
      </c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5"/>
    </row>
    <row r="4" spans="1:52" ht="24.75" customHeight="1">
      <c r="A4" s="4"/>
      <c r="B4" s="345" t="s">
        <v>2</v>
      </c>
      <c r="C4" s="345"/>
      <c r="D4" s="345"/>
      <c r="E4" s="345"/>
      <c r="F4" s="345"/>
      <c r="G4" s="345"/>
      <c r="H4" s="345"/>
      <c r="I4" s="345"/>
      <c r="J4" s="345"/>
      <c r="K4" s="346" t="s">
        <v>3</v>
      </c>
      <c r="L4" s="346"/>
      <c r="M4" s="346"/>
      <c r="N4" s="346"/>
      <c r="O4" s="346"/>
      <c r="P4" s="347" t="s">
        <v>4</v>
      </c>
      <c r="Q4" s="347"/>
      <c r="R4" s="347"/>
      <c r="S4" s="347"/>
      <c r="T4" s="347"/>
      <c r="U4" s="348" t="s">
        <v>5</v>
      </c>
      <c r="V4" s="348"/>
      <c r="W4" s="348"/>
      <c r="X4" s="348"/>
      <c r="Y4" s="345" t="s">
        <v>2</v>
      </c>
      <c r="Z4" s="345"/>
      <c r="AA4" s="345"/>
      <c r="AB4" s="345"/>
      <c r="AC4" s="345"/>
      <c r="AD4" s="345"/>
      <c r="AE4" s="345"/>
      <c r="AF4" s="345"/>
      <c r="AG4" s="345"/>
      <c r="AH4" s="346" t="s">
        <v>3</v>
      </c>
      <c r="AI4" s="346"/>
      <c r="AJ4" s="346"/>
      <c r="AK4" s="346"/>
      <c r="AL4" s="346"/>
      <c r="AM4" s="346" t="s">
        <v>4</v>
      </c>
      <c r="AN4" s="346"/>
      <c r="AO4" s="346"/>
      <c r="AP4" s="346"/>
      <c r="AQ4" s="346"/>
      <c r="AR4" s="346"/>
      <c r="AS4" s="346"/>
      <c r="AT4" s="346"/>
      <c r="AU4" s="349" t="s">
        <v>6</v>
      </c>
      <c r="AV4" s="349"/>
      <c r="AW4" s="349"/>
      <c r="AX4" s="349"/>
      <c r="AY4" s="6"/>
      <c r="AZ4" s="7"/>
    </row>
    <row r="5" spans="1:52" ht="24.75" customHeight="1">
      <c r="A5" s="4"/>
      <c r="B5" s="345"/>
      <c r="C5" s="345"/>
      <c r="D5" s="345"/>
      <c r="E5" s="345"/>
      <c r="F5" s="345"/>
      <c r="G5" s="345"/>
      <c r="H5" s="345"/>
      <c r="I5" s="345"/>
      <c r="J5" s="345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50"/>
      <c r="V5" s="350"/>
      <c r="W5" s="350"/>
      <c r="X5" s="350"/>
      <c r="Y5" s="345"/>
      <c r="Z5" s="345"/>
      <c r="AA5" s="345"/>
      <c r="AB5" s="345"/>
      <c r="AC5" s="345"/>
      <c r="AD5" s="345"/>
      <c r="AE5" s="345"/>
      <c r="AF5" s="345"/>
      <c r="AG5" s="345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50"/>
      <c r="AV5" s="350"/>
      <c r="AW5" s="350"/>
      <c r="AX5" s="350"/>
      <c r="AY5" s="6"/>
      <c r="AZ5" s="7"/>
    </row>
    <row r="6" spans="1:51" ht="12.75">
      <c r="A6" s="4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0"/>
      <c r="AY6" s="5"/>
    </row>
    <row r="7" spans="1:51" ht="12.75">
      <c r="A7" s="4"/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5"/>
      <c r="Y7" s="4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5"/>
      <c r="AY7" s="5"/>
    </row>
    <row r="8" spans="1:51" ht="12.75">
      <c r="A8" s="4"/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5"/>
      <c r="Y8" s="4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5"/>
      <c r="AY8" s="5"/>
    </row>
    <row r="9" spans="1:51" ht="12.75">
      <c r="A9" s="4"/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5"/>
      <c r="Y9" s="4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5"/>
      <c r="AY9" s="5"/>
    </row>
    <row r="10" spans="1:51" ht="12.75">
      <c r="A10" s="4"/>
      <c r="B10" s="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5"/>
      <c r="Y10" s="4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5"/>
      <c r="AY10" s="5"/>
    </row>
    <row r="11" spans="1:51" ht="12.75">
      <c r="A11" s="4"/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5"/>
      <c r="Y11" s="4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5"/>
      <c r="AY11" s="5"/>
    </row>
    <row r="12" spans="1:51" ht="12.75">
      <c r="A12" s="4"/>
      <c r="B12" s="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5"/>
      <c r="Y12" s="4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5"/>
      <c r="AY12" s="5"/>
    </row>
    <row r="13" spans="1:51" ht="12.75">
      <c r="A13" s="4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5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4"/>
      <c r="AY13" s="5"/>
    </row>
    <row r="14" spans="1:51" ht="6" customHeight="1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5"/>
    </row>
    <row r="15" spans="1:51" ht="34.5" customHeight="1">
      <c r="A15" s="4"/>
      <c r="B15" s="351" t="s">
        <v>7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2" t="s">
        <v>8</v>
      </c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5"/>
    </row>
    <row r="16" spans="1:51" ht="12.75">
      <c r="A16" s="4"/>
      <c r="B16" s="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5"/>
      <c r="Y16" s="4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5"/>
      <c r="AY16" s="5"/>
    </row>
    <row r="17" spans="1:51" ht="12.75">
      <c r="A17" s="4"/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5"/>
      <c r="Y17" s="4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5"/>
      <c r="AY17" s="5"/>
    </row>
    <row r="18" spans="1:51" ht="12.75">
      <c r="A18" s="4"/>
      <c r="B18" s="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5"/>
      <c r="Y18" s="4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5"/>
      <c r="AY18" s="5"/>
    </row>
    <row r="19" spans="1:51" ht="12.75">
      <c r="A19" s="4"/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5"/>
      <c r="Y19" s="4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5"/>
      <c r="AY19" s="5"/>
    </row>
    <row r="20" spans="1:51" ht="12.75">
      <c r="A20" s="4"/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5"/>
      <c r="Y20" s="4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5"/>
      <c r="AY20" s="5"/>
    </row>
    <row r="21" spans="1:51" ht="12.75">
      <c r="A21" s="4"/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5"/>
      <c r="Y21" s="4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5"/>
      <c r="AY21" s="5"/>
    </row>
    <row r="22" spans="1:51" ht="12.75">
      <c r="A22" s="4"/>
      <c r="B22" s="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5"/>
      <c r="Y22" s="4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5"/>
      <c r="AY22" s="5"/>
    </row>
    <row r="23" spans="1:51" ht="12.75">
      <c r="A23" s="4"/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5"/>
      <c r="Y23" s="4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5"/>
      <c r="AY23" s="5"/>
    </row>
    <row r="24" spans="1:51" ht="12.75">
      <c r="A24" s="4"/>
      <c r="B24" s="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5"/>
      <c r="Y24" s="4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5"/>
      <c r="AY24" s="5"/>
    </row>
    <row r="25" spans="1:51" ht="12.75">
      <c r="A25" s="4"/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5"/>
      <c r="Y25" s="4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5"/>
      <c r="AY25" s="5"/>
    </row>
    <row r="26" spans="1:51" ht="12.75">
      <c r="A26" s="4"/>
      <c r="B26" s="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5"/>
      <c r="Y26" s="4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5"/>
      <c r="AY26" s="5"/>
    </row>
    <row r="27" spans="1:51" ht="12.75">
      <c r="A27" s="4"/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"/>
      <c r="Y27" s="4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5"/>
      <c r="AY27" s="5"/>
    </row>
    <row r="28" spans="1:51" ht="12.75" customHeight="1">
      <c r="A28" s="4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2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4"/>
      <c r="AY28" s="5"/>
    </row>
    <row r="29" spans="1:51" ht="6" customHeight="1">
      <c r="A29" s="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5"/>
    </row>
    <row r="30" spans="1:51" ht="12.75" customHeight="1">
      <c r="A30" s="4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3"/>
      <c r="AY30" s="5"/>
    </row>
    <row r="31" spans="1:51" ht="12.75" customHeight="1">
      <c r="A31" s="4"/>
      <c r="B31" s="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1"/>
      <c r="AR31" s="11"/>
      <c r="AS31" s="11"/>
      <c r="AT31" s="11"/>
      <c r="AU31" s="11"/>
      <c r="AV31" s="11"/>
      <c r="AW31" s="11"/>
      <c r="AX31" s="5"/>
      <c r="AY31" s="5"/>
    </row>
    <row r="32" spans="1:51" ht="12.75" customHeight="1">
      <c r="A32" s="4"/>
      <c r="B32" s="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1"/>
      <c r="AR32" s="11"/>
      <c r="AS32" s="11"/>
      <c r="AT32" s="11"/>
      <c r="AU32" s="11"/>
      <c r="AV32" s="11"/>
      <c r="AW32" s="11"/>
      <c r="AX32" s="5"/>
      <c r="AY32" s="5"/>
    </row>
    <row r="33" spans="1:51" ht="12.75" customHeight="1">
      <c r="A33" s="4"/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1"/>
      <c r="AR33" s="11"/>
      <c r="AS33" s="11"/>
      <c r="AT33" s="11"/>
      <c r="AU33" s="11"/>
      <c r="AV33" s="11"/>
      <c r="AW33" s="11"/>
      <c r="AX33" s="5"/>
      <c r="AY33" s="5"/>
    </row>
    <row r="34" spans="1:51" ht="10.5" customHeight="1">
      <c r="A34" s="4"/>
      <c r="B34" s="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5"/>
      <c r="AY34" s="5"/>
    </row>
    <row r="35" spans="1:51" ht="12.75" customHeight="1">
      <c r="A35" s="4"/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1"/>
      <c r="AR35" s="11"/>
      <c r="AS35" s="11"/>
      <c r="AT35" s="11"/>
      <c r="AU35" s="11"/>
      <c r="AV35" s="11"/>
      <c r="AW35" s="11"/>
      <c r="AX35" s="5"/>
      <c r="AY35" s="5"/>
    </row>
    <row r="36" spans="1:51" ht="12.75" customHeight="1">
      <c r="A36" s="4"/>
      <c r="B36" s="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1"/>
      <c r="AR36" s="11"/>
      <c r="AS36" s="11"/>
      <c r="AT36" s="11"/>
      <c r="AU36" s="11"/>
      <c r="AV36" s="11"/>
      <c r="AW36" s="11"/>
      <c r="AX36" s="5"/>
      <c r="AY36" s="5"/>
    </row>
    <row r="37" spans="1:51" ht="14.25">
      <c r="A37" s="4"/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8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18"/>
      <c r="AQ37" s="11"/>
      <c r="AR37" s="11"/>
      <c r="AS37" s="11"/>
      <c r="AT37" s="11"/>
      <c r="AU37" s="11"/>
      <c r="AV37" s="11"/>
      <c r="AW37" s="11"/>
      <c r="AX37" s="5"/>
      <c r="AY37" s="5"/>
    </row>
    <row r="38" spans="1:51" ht="14.25">
      <c r="A38" s="4"/>
      <c r="B38" s="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18"/>
      <c r="AQ38" s="11"/>
      <c r="AR38" s="11"/>
      <c r="AS38" s="11"/>
      <c r="AT38" s="11"/>
      <c r="AU38" s="11"/>
      <c r="AV38" s="11"/>
      <c r="AW38" s="11"/>
      <c r="AX38" s="5"/>
      <c r="AY38" s="5"/>
    </row>
    <row r="39" spans="1:51" ht="14.25" customHeight="1">
      <c r="A39" s="4"/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8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1"/>
      <c r="AR39" s="11"/>
      <c r="AS39" s="11"/>
      <c r="AT39" s="11"/>
      <c r="AU39" s="11"/>
      <c r="AV39" s="11"/>
      <c r="AW39" s="11"/>
      <c r="AX39" s="5"/>
      <c r="AY39" s="5"/>
    </row>
    <row r="40" spans="1:51" ht="12.75">
      <c r="A40" s="4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4"/>
      <c r="AY40" s="5"/>
    </row>
    <row r="41" spans="1:51" ht="6" customHeight="1">
      <c r="A41" s="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5"/>
    </row>
    <row r="42" spans="1:51" ht="15" customHeight="1">
      <c r="A42" s="4"/>
      <c r="B42" s="353" t="s">
        <v>32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5"/>
    </row>
    <row r="43" spans="1:51" ht="12.75">
      <c r="A43" s="4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5"/>
    </row>
    <row r="44" spans="1:51" ht="6.75" customHeight="1">
      <c r="A44" s="4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4"/>
      <c r="AY44" s="5"/>
    </row>
    <row r="45" spans="1:51" ht="6" customHeight="1">
      <c r="A45" s="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5"/>
    </row>
    <row r="46" spans="1:51" ht="18.75" customHeight="1">
      <c r="A46" s="4"/>
      <c r="B46" s="354" t="s">
        <v>10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5"/>
    </row>
    <row r="47" spans="1:51" ht="19.5" customHeight="1">
      <c r="A47" s="4"/>
      <c r="B47" s="345" t="s">
        <v>11</v>
      </c>
      <c r="C47" s="345"/>
      <c r="D47" s="345"/>
      <c r="E47" s="345"/>
      <c r="F47" s="345"/>
      <c r="G47" s="346" t="s">
        <v>12</v>
      </c>
      <c r="H47" s="346"/>
      <c r="I47" s="346"/>
      <c r="J47" s="346"/>
      <c r="K47" s="346"/>
      <c r="L47" s="346" t="s">
        <v>13</v>
      </c>
      <c r="M47" s="346"/>
      <c r="N47" s="346"/>
      <c r="O47" s="346"/>
      <c r="P47" s="346"/>
      <c r="Q47" s="346"/>
      <c r="R47" s="346"/>
      <c r="S47" s="346"/>
      <c r="T47" s="346"/>
      <c r="U47" s="346" t="s">
        <v>14</v>
      </c>
      <c r="V47" s="346"/>
      <c r="W47" s="346"/>
      <c r="X47" s="346"/>
      <c r="Y47" s="346"/>
      <c r="Z47" s="346"/>
      <c r="AA47" s="346"/>
      <c r="AB47" s="346"/>
      <c r="AC47" s="346"/>
      <c r="AD47" s="346"/>
      <c r="AE47" s="346" t="s">
        <v>15</v>
      </c>
      <c r="AF47" s="346"/>
      <c r="AG47" s="346"/>
      <c r="AH47" s="346"/>
      <c r="AI47" s="346" t="s">
        <v>16</v>
      </c>
      <c r="AJ47" s="346"/>
      <c r="AK47" s="346"/>
      <c r="AL47" s="346"/>
      <c r="AM47" s="346"/>
      <c r="AN47" s="346" t="s">
        <v>17</v>
      </c>
      <c r="AO47" s="346"/>
      <c r="AP47" s="346"/>
      <c r="AQ47" s="346"/>
      <c r="AR47" s="355" t="s">
        <v>18</v>
      </c>
      <c r="AS47" s="355"/>
      <c r="AT47" s="355"/>
      <c r="AU47" s="355"/>
      <c r="AV47" s="355"/>
      <c r="AW47" s="355"/>
      <c r="AX47" s="355"/>
      <c r="AY47" s="5"/>
    </row>
    <row r="48" spans="1:51" ht="19.5" customHeight="1">
      <c r="A48" s="4"/>
      <c r="B48" s="356">
        <f>SÖZLEŞME!B17</f>
        <v>0</v>
      </c>
      <c r="C48" s="356"/>
      <c r="D48" s="356"/>
      <c r="E48" s="356"/>
      <c r="F48" s="356"/>
      <c r="G48" s="357">
        <f>SÖZLEŞME!G17</f>
        <v>0</v>
      </c>
      <c r="H48" s="357"/>
      <c r="I48" s="357"/>
      <c r="J48" s="357"/>
      <c r="K48" s="357"/>
      <c r="L48" s="357">
        <f>SÖZLEŞME!K17</f>
        <v>0</v>
      </c>
      <c r="M48" s="357"/>
      <c r="N48" s="357"/>
      <c r="O48" s="357"/>
      <c r="P48" s="357"/>
      <c r="Q48" s="357"/>
      <c r="R48" s="357"/>
      <c r="S48" s="357"/>
      <c r="T48" s="357"/>
      <c r="U48" s="357">
        <f>SÖZLEŞME!R17</f>
        <v>0</v>
      </c>
      <c r="V48" s="357"/>
      <c r="W48" s="357"/>
      <c r="X48" s="357"/>
      <c r="Y48" s="357"/>
      <c r="Z48" s="357"/>
      <c r="AA48" s="357"/>
      <c r="AB48" s="357"/>
      <c r="AC48" s="357"/>
      <c r="AD48" s="357"/>
      <c r="AE48" s="358">
        <f>SÖZLEŞME!AA17</f>
        <v>0</v>
      </c>
      <c r="AF48" s="358"/>
      <c r="AG48" s="358"/>
      <c r="AH48" s="358"/>
      <c r="AI48" s="357">
        <f>SÖZLEŞME!AF17</f>
        <v>0</v>
      </c>
      <c r="AJ48" s="357"/>
      <c r="AK48" s="357"/>
      <c r="AL48" s="357"/>
      <c r="AM48" s="357"/>
      <c r="AN48" s="358">
        <f>SÖZLEŞME!AJ17</f>
        <v>0</v>
      </c>
      <c r="AO48" s="358"/>
      <c r="AP48" s="358"/>
      <c r="AQ48" s="358"/>
      <c r="AR48" s="355"/>
      <c r="AS48" s="355"/>
      <c r="AT48" s="355"/>
      <c r="AU48" s="355"/>
      <c r="AV48" s="355"/>
      <c r="AW48" s="355"/>
      <c r="AX48" s="355"/>
      <c r="AY48" s="5"/>
    </row>
    <row r="49" spans="1:51" ht="20.25">
      <c r="A49" s="4"/>
      <c r="B49" s="359" t="s">
        <v>19</v>
      </c>
      <c r="C49" s="359"/>
      <c r="D49" s="359"/>
      <c r="E49" s="359"/>
      <c r="F49" s="359"/>
      <c r="G49" s="359"/>
      <c r="H49" s="359"/>
      <c r="I49" s="359"/>
      <c r="J49" s="359"/>
      <c r="K49" s="359"/>
      <c r="L49" s="360">
        <f>SÖZLEŞME!Y7</f>
        <v>0</v>
      </c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1" t="s">
        <v>20</v>
      </c>
      <c r="AS49" s="361"/>
      <c r="AT49" s="361"/>
      <c r="AU49" s="361"/>
      <c r="AV49" s="361"/>
      <c r="AW49" s="361"/>
      <c r="AX49" s="361"/>
      <c r="AY49" s="5"/>
    </row>
    <row r="50" spans="1:51" ht="17.25" customHeight="1">
      <c r="A50" s="4"/>
      <c r="B50" s="362" t="s">
        <v>21</v>
      </c>
      <c r="C50" s="362"/>
      <c r="D50" s="362"/>
      <c r="E50" s="362"/>
      <c r="F50" s="362"/>
      <c r="G50" s="362"/>
      <c r="H50" s="362"/>
      <c r="I50" s="362"/>
      <c r="J50" s="362"/>
      <c r="K50" s="362"/>
      <c r="L50" s="363">
        <f>SÖZLEŞME!Y8</f>
        <v>0</v>
      </c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4"/>
      <c r="AS50" s="364"/>
      <c r="AT50" s="364"/>
      <c r="AU50" s="364"/>
      <c r="AV50" s="364"/>
      <c r="AW50" s="364"/>
      <c r="AX50" s="364"/>
      <c r="AY50" s="5"/>
    </row>
    <row r="51" spans="1:51" ht="6" customHeight="1">
      <c r="A51" s="4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5"/>
    </row>
    <row r="52" spans="1:51" ht="15">
      <c r="A52" s="4"/>
      <c r="B52" s="365" t="s">
        <v>22</v>
      </c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AQ52" s="365"/>
      <c r="AR52" s="365"/>
      <c r="AS52" s="365"/>
      <c r="AT52" s="365"/>
      <c r="AU52" s="365"/>
      <c r="AV52" s="365"/>
      <c r="AW52" s="365"/>
      <c r="AX52" s="365"/>
      <c r="AY52" s="5"/>
    </row>
    <row r="53" spans="1:51" ht="45" customHeight="1">
      <c r="A53" s="4"/>
      <c r="B53" s="366" t="s">
        <v>23</v>
      </c>
      <c r="C53" s="366"/>
      <c r="D53" s="366"/>
      <c r="E53" s="366"/>
      <c r="F53" s="366"/>
      <c r="G53" s="367" t="s">
        <v>24</v>
      </c>
      <c r="H53" s="367"/>
      <c r="I53" s="367"/>
      <c r="J53" s="367"/>
      <c r="K53" s="367"/>
      <c r="L53" s="367" t="s">
        <v>25</v>
      </c>
      <c r="M53" s="367"/>
      <c r="N53" s="367"/>
      <c r="O53" s="367"/>
      <c r="P53" s="367"/>
      <c r="Q53" s="367"/>
      <c r="R53" s="367"/>
      <c r="S53" s="367"/>
      <c r="T53" s="367"/>
      <c r="U53" s="367" t="s">
        <v>26</v>
      </c>
      <c r="V53" s="367"/>
      <c r="W53" s="367"/>
      <c r="X53" s="367"/>
      <c r="Y53" s="367"/>
      <c r="Z53" s="367"/>
      <c r="AA53" s="367"/>
      <c r="AB53" s="367"/>
      <c r="AC53" s="367"/>
      <c r="AD53" s="367" t="s">
        <v>27</v>
      </c>
      <c r="AE53" s="367"/>
      <c r="AF53" s="367"/>
      <c r="AG53" s="367"/>
      <c r="AH53" s="367"/>
      <c r="AI53" s="367" t="s">
        <v>28</v>
      </c>
      <c r="AJ53" s="367"/>
      <c r="AK53" s="367"/>
      <c r="AL53" s="367"/>
      <c r="AM53" s="367"/>
      <c r="AN53" s="367" t="s">
        <v>29</v>
      </c>
      <c r="AO53" s="367"/>
      <c r="AP53" s="367"/>
      <c r="AQ53" s="367"/>
      <c r="AR53" s="368" t="s">
        <v>30</v>
      </c>
      <c r="AS53" s="368"/>
      <c r="AT53" s="368"/>
      <c r="AU53" s="368"/>
      <c r="AV53" s="368"/>
      <c r="AW53" s="368"/>
      <c r="AX53" s="368"/>
      <c r="AY53" s="5"/>
    </row>
    <row r="54" spans="1:51" ht="6.75" customHeight="1">
      <c r="A54" s="4"/>
      <c r="B54" s="369"/>
      <c r="C54" s="369"/>
      <c r="D54" s="369"/>
      <c r="E54" s="369"/>
      <c r="F54" s="369"/>
      <c r="G54" s="370">
        <f>'ASGARİ ÜCRET FORMU'!F22</f>
        <v>2</v>
      </c>
      <c r="H54" s="370"/>
      <c r="I54" s="370"/>
      <c r="J54" s="370"/>
      <c r="K54" s="370"/>
      <c r="L54" s="371">
        <f>'ASGARİ ÜCRET FORMU'!C28</f>
        <v>230</v>
      </c>
      <c r="M54" s="371"/>
      <c r="N54" s="371"/>
      <c r="O54" s="371"/>
      <c r="P54" s="371"/>
      <c r="Q54" s="371"/>
      <c r="R54" s="371"/>
      <c r="S54" s="371"/>
      <c r="T54" s="371"/>
      <c r="U54" s="370">
        <f>SÖZLEŞME!G26</f>
        <v>1</v>
      </c>
      <c r="V54" s="370"/>
      <c r="W54" s="370"/>
      <c r="X54" s="370"/>
      <c r="Y54" s="370"/>
      <c r="Z54" s="370"/>
      <c r="AA54" s="370"/>
      <c r="AB54" s="370"/>
      <c r="AC54" s="370"/>
      <c r="AD54" s="370">
        <f>SÖZLEŞME!M26</f>
        <v>1</v>
      </c>
      <c r="AE54" s="370"/>
      <c r="AF54" s="370"/>
      <c r="AG54" s="370"/>
      <c r="AH54" s="370"/>
      <c r="AI54" s="370">
        <f>SÖZLEŞME!Q26</f>
        <v>360</v>
      </c>
      <c r="AJ54" s="370"/>
      <c r="AK54" s="370"/>
      <c r="AL54" s="370"/>
      <c r="AM54" s="370"/>
      <c r="AN54" s="370">
        <f>SÖZLEŞME!AG26</f>
        <v>9</v>
      </c>
      <c r="AO54" s="370"/>
      <c r="AP54" s="370"/>
      <c r="AQ54" s="370"/>
      <c r="AR54" s="372">
        <f>SÖZLEŞME!B26</f>
        <v>0</v>
      </c>
      <c r="AS54" s="372"/>
      <c r="AT54" s="372"/>
      <c r="AU54" s="372"/>
      <c r="AV54" s="372"/>
      <c r="AW54" s="372"/>
      <c r="AX54" s="372"/>
      <c r="AY54" s="5"/>
    </row>
    <row r="55" spans="1:51" ht="12.75">
      <c r="A55" s="4"/>
      <c r="B55" s="369"/>
      <c r="C55" s="369"/>
      <c r="D55" s="369"/>
      <c r="E55" s="369"/>
      <c r="F55" s="369"/>
      <c r="G55" s="370"/>
      <c r="H55" s="370"/>
      <c r="I55" s="370"/>
      <c r="J55" s="370"/>
      <c r="K55" s="370"/>
      <c r="L55" s="371"/>
      <c r="M55" s="371"/>
      <c r="N55" s="371"/>
      <c r="O55" s="371"/>
      <c r="P55" s="371"/>
      <c r="Q55" s="371"/>
      <c r="R55" s="371"/>
      <c r="S55" s="371"/>
      <c r="T55" s="371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2"/>
      <c r="AS55" s="372"/>
      <c r="AT55" s="372"/>
      <c r="AU55" s="372"/>
      <c r="AV55" s="372"/>
      <c r="AW55" s="372"/>
      <c r="AX55" s="372"/>
      <c r="AY55" s="5"/>
    </row>
    <row r="56" spans="1:51" ht="6.75" customHeight="1">
      <c r="A56" s="4"/>
      <c r="B56" s="369"/>
      <c r="C56" s="369"/>
      <c r="D56" s="369"/>
      <c r="E56" s="369"/>
      <c r="F56" s="369"/>
      <c r="G56" s="370"/>
      <c r="H56" s="370"/>
      <c r="I56" s="370"/>
      <c r="J56" s="370"/>
      <c r="K56" s="370"/>
      <c r="L56" s="371"/>
      <c r="M56" s="371"/>
      <c r="N56" s="371"/>
      <c r="O56" s="371"/>
      <c r="P56" s="371"/>
      <c r="Q56" s="371"/>
      <c r="R56" s="371"/>
      <c r="S56" s="371"/>
      <c r="T56" s="371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2"/>
      <c r="AS56" s="372"/>
      <c r="AT56" s="372"/>
      <c r="AU56" s="372"/>
      <c r="AV56" s="372"/>
      <c r="AW56" s="372"/>
      <c r="AX56" s="372"/>
      <c r="AY56" s="5"/>
    </row>
    <row r="57" spans="1:51" ht="7.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4"/>
    </row>
    <row r="58" ht="6.75" customHeight="1"/>
  </sheetData>
  <mergeCells count="61">
    <mergeCell ref="AD54:AH56"/>
    <mergeCell ref="AI54:AM56"/>
    <mergeCell ref="AN54:AQ56"/>
    <mergeCell ref="AR54:AX56"/>
    <mergeCell ref="B54:F56"/>
    <mergeCell ref="G54:K56"/>
    <mergeCell ref="L54:T56"/>
    <mergeCell ref="U54:AC56"/>
    <mergeCell ref="B52:AX52"/>
    <mergeCell ref="B53:F53"/>
    <mergeCell ref="G53:K53"/>
    <mergeCell ref="L53:T53"/>
    <mergeCell ref="U53:AC53"/>
    <mergeCell ref="AD53:AH53"/>
    <mergeCell ref="AI53:AM53"/>
    <mergeCell ref="AN53:AQ53"/>
    <mergeCell ref="AR53:AX53"/>
    <mergeCell ref="B49:K49"/>
    <mergeCell ref="L49:AQ49"/>
    <mergeCell ref="AR49:AX49"/>
    <mergeCell ref="B50:K50"/>
    <mergeCell ref="L50:AQ50"/>
    <mergeCell ref="AR50:AX50"/>
    <mergeCell ref="AE48:AH48"/>
    <mergeCell ref="AI48:AM48"/>
    <mergeCell ref="AN48:AQ48"/>
    <mergeCell ref="AR48:AX48"/>
    <mergeCell ref="B48:F48"/>
    <mergeCell ref="G48:K48"/>
    <mergeCell ref="L48:T48"/>
    <mergeCell ref="U48:AD48"/>
    <mergeCell ref="AE47:AH47"/>
    <mergeCell ref="AI47:AM47"/>
    <mergeCell ref="AN47:AQ47"/>
    <mergeCell ref="AR47:AX47"/>
    <mergeCell ref="B47:F47"/>
    <mergeCell ref="G47:K47"/>
    <mergeCell ref="L47:T47"/>
    <mergeCell ref="U47:AD47"/>
    <mergeCell ref="B15:X15"/>
    <mergeCell ref="Y15:AX15"/>
    <mergeCell ref="B42:AX43"/>
    <mergeCell ref="B46:AX46"/>
    <mergeCell ref="Y5:AG5"/>
    <mergeCell ref="AH5:AL5"/>
    <mergeCell ref="AM5:AT5"/>
    <mergeCell ref="AU5:AX5"/>
    <mergeCell ref="B5:J5"/>
    <mergeCell ref="K5:O5"/>
    <mergeCell ref="P5:T5"/>
    <mergeCell ref="U5:X5"/>
    <mergeCell ref="B3:X3"/>
    <mergeCell ref="Y3:AX3"/>
    <mergeCell ref="B4:J4"/>
    <mergeCell ref="K4:O4"/>
    <mergeCell ref="P4:T4"/>
    <mergeCell ref="U4:X4"/>
    <mergeCell ref="Y4:AG4"/>
    <mergeCell ref="AH4:AL4"/>
    <mergeCell ref="AM4:AT4"/>
    <mergeCell ref="AU4:AX4"/>
  </mergeCells>
  <printOptions/>
  <pageMargins left="0.2701388888888889" right="0.25" top="0.4902777777777778" bottom="0.5097222222222222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4"/>
  <sheetViews>
    <sheetView showZeros="0" workbookViewId="0" topLeftCell="A1">
      <pane ySplit="4" topLeftCell="BM75" activePane="bottomLeft" state="frozen"/>
      <selection pane="topLeft" activeCell="A1" sqref="A1"/>
      <selection pane="bottomLeft" activeCell="E89" sqref="E89"/>
    </sheetView>
  </sheetViews>
  <sheetFormatPr defaultColWidth="9.140625" defaultRowHeight="12.75"/>
  <cols>
    <col min="1" max="1" width="8.00390625" style="26" customWidth="1"/>
    <col min="2" max="2" width="7.00390625" style="27" customWidth="1"/>
    <col min="3" max="3" width="9.00390625" style="27" customWidth="1"/>
    <col min="4" max="4" width="7.421875" style="27" customWidth="1"/>
    <col min="5" max="5" width="4.8515625" style="27" customWidth="1"/>
    <col min="6" max="6" width="4.7109375" style="27" customWidth="1"/>
    <col min="7" max="7" width="11.7109375" style="28" customWidth="1"/>
    <col min="8" max="18" width="8.57421875" style="0" customWidth="1"/>
    <col min="19" max="16384" width="9.00390625" style="0" customWidth="1"/>
  </cols>
  <sheetData>
    <row r="1" spans="1:18" ht="12.75">
      <c r="A1" s="29" t="s">
        <v>33</v>
      </c>
      <c r="B1" s="30"/>
      <c r="C1" s="31"/>
      <c r="D1" s="31"/>
      <c r="E1" s="31"/>
      <c r="F1" s="31"/>
      <c r="G1" s="32"/>
      <c r="H1" s="33">
        <v>1</v>
      </c>
      <c r="I1" s="34">
        <v>2</v>
      </c>
      <c r="J1" s="35" t="s">
        <v>34</v>
      </c>
      <c r="K1" s="35" t="s">
        <v>35</v>
      </c>
      <c r="L1" s="35" t="s">
        <v>36</v>
      </c>
      <c r="M1" s="35" t="s">
        <v>37</v>
      </c>
      <c r="N1" s="35" t="s">
        <v>38</v>
      </c>
      <c r="O1" s="35" t="s">
        <v>39</v>
      </c>
      <c r="P1" s="35" t="s">
        <v>40</v>
      </c>
      <c r="Q1" s="35" t="s">
        <v>41</v>
      </c>
      <c r="R1" s="35" t="s">
        <v>42</v>
      </c>
    </row>
    <row r="2" spans="1:18" s="41" customFormat="1" ht="11.25">
      <c r="A2" s="36" t="s">
        <v>43</v>
      </c>
      <c r="B2" s="37"/>
      <c r="C2" s="38"/>
      <c r="D2" s="38"/>
      <c r="E2" s="38"/>
      <c r="F2" s="38"/>
      <c r="G2" s="39"/>
      <c r="H2" s="40">
        <v>105</v>
      </c>
      <c r="I2" s="40">
        <v>230</v>
      </c>
      <c r="J2" s="40">
        <v>375</v>
      </c>
      <c r="K2" s="40">
        <v>427</v>
      </c>
      <c r="L2" s="40">
        <v>482</v>
      </c>
      <c r="M2" s="40">
        <v>533</v>
      </c>
      <c r="N2" s="40">
        <v>640</v>
      </c>
      <c r="O2" s="40">
        <v>794</v>
      </c>
      <c r="P2" s="40">
        <v>962</v>
      </c>
      <c r="Q2" s="40">
        <v>1098</v>
      </c>
      <c r="R2" s="40">
        <v>1311</v>
      </c>
    </row>
    <row r="3" spans="1:18" ht="16.5" customHeight="1">
      <c r="A3" s="42" t="s">
        <v>44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/>
      <c r="H3" s="44" t="s">
        <v>45</v>
      </c>
      <c r="I3" s="44" t="s">
        <v>45</v>
      </c>
      <c r="J3" s="44" t="s">
        <v>45</v>
      </c>
      <c r="K3" s="44" t="s">
        <v>45</v>
      </c>
      <c r="L3" s="44" t="s">
        <v>45</v>
      </c>
      <c r="M3" s="44" t="s">
        <v>45</v>
      </c>
      <c r="N3" s="44" t="s">
        <v>45</v>
      </c>
      <c r="O3" s="44" t="s">
        <v>45</v>
      </c>
      <c r="P3" s="44" t="s">
        <v>45</v>
      </c>
      <c r="Q3" s="44" t="s">
        <v>45</v>
      </c>
      <c r="R3" s="44" t="s">
        <v>45</v>
      </c>
    </row>
    <row r="4" spans="1:18" ht="12.75" customHeight="1" hidden="1">
      <c r="A4" s="45">
        <v>10</v>
      </c>
      <c r="B4" s="46">
        <v>4.37</v>
      </c>
      <c r="C4" s="46">
        <v>4.93</v>
      </c>
      <c r="D4" s="46">
        <v>5.49</v>
      </c>
      <c r="E4" s="46">
        <v>6.05</v>
      </c>
      <c r="F4" s="46">
        <v>6.61</v>
      </c>
      <c r="G4" s="47">
        <v>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2.75" customHeight="1" hidden="1">
      <c r="A5" s="45">
        <v>50</v>
      </c>
      <c r="B5" s="46">
        <v>4.37</v>
      </c>
      <c r="C5" s="46">
        <v>4.93</v>
      </c>
      <c r="D5" s="46">
        <v>5.49</v>
      </c>
      <c r="E5" s="46">
        <v>6.05</v>
      </c>
      <c r="F5" s="46">
        <v>6.61</v>
      </c>
      <c r="G5" s="47">
        <v>2</v>
      </c>
      <c r="H5" s="45">
        <f aca="true" t="shared" si="0" ref="H5:H36">$A5*$B5*H$2*$C$133*$J$134*$J$135*$J$136/100</f>
        <v>1.37655</v>
      </c>
      <c r="I5" s="45">
        <f aca="true" t="shared" si="1" ref="I5:I36">$A5*$C5*$I$2*$C$133*$J$134*$J$135*$J$136/100</f>
        <v>3.4017</v>
      </c>
      <c r="J5" s="45">
        <f aca="true" t="shared" si="2" ref="J5:J36">$A5*$D5*$J$2*$C$133*$J$134*$J$135*$J$136/100</f>
        <v>6.17625</v>
      </c>
      <c r="K5" s="45">
        <f aca="true" t="shared" si="3" ref="K5:K36">$A5*$D5*$K$2*$C$133*$J$134*$J$135*$J$136/100</f>
        <v>7.03269</v>
      </c>
      <c r="L5" s="45">
        <f aca="true" t="shared" si="4" ref="L5:L36">$A5*$E5*$L$2*$C$133*$J$134*$J$135*$J$136/100</f>
        <v>8.7483</v>
      </c>
      <c r="M5" s="45">
        <f aca="true" t="shared" si="5" ref="M5:M36">$A5*$E5*$M$2*$C$133*$J$134*$J$135*$J$136/100</f>
        <v>9.67395</v>
      </c>
      <c r="N5" s="45">
        <f aca="true" t="shared" si="6" ref="N5:N36">$A5*$E5*$N$2*$C$133*$J$134*$J$135*$J$136/100</f>
        <v>11.616000000000001</v>
      </c>
      <c r="O5" s="45">
        <f aca="true" t="shared" si="7" ref="O5:O36">$A5*$F5*$O$2*$C$133*$J$134*$J$135*$J$136/100</f>
        <v>15.74502</v>
      </c>
      <c r="P5" s="45">
        <f aca="true" t="shared" si="8" ref="P5:P36">$A5*$F5*$P$2*$C$133*$J$134*$J$135*$J$136/100</f>
        <v>19.07646</v>
      </c>
      <c r="Q5" s="45">
        <f aca="true" t="shared" si="9" ref="Q5:Q36">$A5*$F5*$Q$2*$C$133*$J$134*$J$135*$J$136/100</f>
        <v>21.773339999999997</v>
      </c>
      <c r="R5" s="45">
        <f aca="true" t="shared" si="10" ref="R5:R36">$A5*$F5*$R$2*$C$133*$J$134*$J$135*$J$136/100</f>
        <v>25.997130000000002</v>
      </c>
    </row>
    <row r="6" spans="1:18" ht="12.75" customHeight="1" hidden="1">
      <c r="A6" s="45">
        <v>100</v>
      </c>
      <c r="B6" s="46">
        <v>4.37</v>
      </c>
      <c r="C6" s="46">
        <v>4.93</v>
      </c>
      <c r="D6" s="46">
        <v>5.49</v>
      </c>
      <c r="E6" s="46">
        <v>6.05</v>
      </c>
      <c r="F6" s="46">
        <v>6.61</v>
      </c>
      <c r="G6" s="48">
        <f aca="true" t="shared" si="11" ref="G6:G37">G5+1</f>
        <v>3</v>
      </c>
      <c r="H6" s="45">
        <f t="shared" si="0"/>
        <v>2.7531</v>
      </c>
      <c r="I6" s="45">
        <f t="shared" si="1"/>
        <v>6.8034</v>
      </c>
      <c r="J6" s="45">
        <f t="shared" si="2"/>
        <v>12.3525</v>
      </c>
      <c r="K6" s="45">
        <f t="shared" si="3"/>
        <v>14.06538</v>
      </c>
      <c r="L6" s="45">
        <f t="shared" si="4"/>
        <v>17.4966</v>
      </c>
      <c r="M6" s="45">
        <f t="shared" si="5"/>
        <v>19.3479</v>
      </c>
      <c r="N6" s="45">
        <f t="shared" si="6"/>
        <v>23.232000000000003</v>
      </c>
      <c r="O6" s="45">
        <f t="shared" si="7"/>
        <v>31.49004</v>
      </c>
      <c r="P6" s="45">
        <f t="shared" si="8"/>
        <v>38.15292</v>
      </c>
      <c r="Q6" s="45">
        <f t="shared" si="9"/>
        <v>43.546679999999995</v>
      </c>
      <c r="R6" s="45">
        <f t="shared" si="10"/>
        <v>51.994260000000004</v>
      </c>
    </row>
    <row r="7" spans="1:18" ht="12.75" customHeight="1">
      <c r="A7" s="45">
        <v>150</v>
      </c>
      <c r="B7" s="46">
        <v>4.37</v>
      </c>
      <c r="C7" s="46">
        <v>4.93</v>
      </c>
      <c r="D7" s="46">
        <v>5.49</v>
      </c>
      <c r="E7" s="46">
        <v>6.05</v>
      </c>
      <c r="F7" s="46">
        <v>6.61</v>
      </c>
      <c r="G7" s="48">
        <f t="shared" si="11"/>
        <v>4</v>
      </c>
      <c r="H7" s="45">
        <f t="shared" si="0"/>
        <v>4.129650000000001</v>
      </c>
      <c r="I7" s="45">
        <f t="shared" si="1"/>
        <v>10.2051</v>
      </c>
      <c r="J7" s="45">
        <f t="shared" si="2"/>
        <v>18.52875</v>
      </c>
      <c r="K7" s="45">
        <f t="shared" si="3"/>
        <v>21.098070000000003</v>
      </c>
      <c r="L7" s="45">
        <f t="shared" si="4"/>
        <v>26.2449</v>
      </c>
      <c r="M7" s="45">
        <f t="shared" si="5"/>
        <v>29.02185</v>
      </c>
      <c r="N7" s="45">
        <f t="shared" si="6"/>
        <v>34.848</v>
      </c>
      <c r="O7" s="45">
        <f t="shared" si="7"/>
        <v>47.235060000000004</v>
      </c>
      <c r="P7" s="45">
        <f t="shared" si="8"/>
        <v>57.22938</v>
      </c>
      <c r="Q7" s="45">
        <f t="shared" si="9"/>
        <v>65.32002</v>
      </c>
      <c r="R7" s="45">
        <f t="shared" si="10"/>
        <v>77.99139</v>
      </c>
    </row>
    <row r="8" spans="1:18" ht="12.75" customHeight="1">
      <c r="A8" s="45">
        <v>200</v>
      </c>
      <c r="B8" s="46">
        <v>4.37</v>
      </c>
      <c r="C8" s="46">
        <v>4.93</v>
      </c>
      <c r="D8" s="46">
        <v>5.49</v>
      </c>
      <c r="E8" s="46">
        <v>6.05</v>
      </c>
      <c r="F8" s="46">
        <v>6.61</v>
      </c>
      <c r="G8" s="48">
        <f t="shared" si="11"/>
        <v>5</v>
      </c>
      <c r="H8" s="45">
        <f t="shared" si="0"/>
        <v>5.5062</v>
      </c>
      <c r="I8" s="45">
        <f t="shared" si="1"/>
        <v>13.6068</v>
      </c>
      <c r="J8" s="45">
        <f t="shared" si="2"/>
        <v>24.705</v>
      </c>
      <c r="K8" s="45">
        <f t="shared" si="3"/>
        <v>28.13076</v>
      </c>
      <c r="L8" s="45">
        <f t="shared" si="4"/>
        <v>34.9932</v>
      </c>
      <c r="M8" s="45">
        <f t="shared" si="5"/>
        <v>38.6958</v>
      </c>
      <c r="N8" s="45">
        <f t="shared" si="6"/>
        <v>46.464000000000006</v>
      </c>
      <c r="O8" s="45">
        <f t="shared" si="7"/>
        <v>62.98008</v>
      </c>
      <c r="P8" s="45">
        <f t="shared" si="8"/>
        <v>76.30584</v>
      </c>
      <c r="Q8" s="45">
        <f t="shared" si="9"/>
        <v>87.09335999999999</v>
      </c>
      <c r="R8" s="45">
        <f t="shared" si="10"/>
        <v>103.98852000000001</v>
      </c>
    </row>
    <row r="9" spans="1:18" s="49" customFormat="1" ht="12.75">
      <c r="A9" s="45">
        <v>250</v>
      </c>
      <c r="B9" s="46">
        <v>4.37</v>
      </c>
      <c r="C9" s="46">
        <v>4.93</v>
      </c>
      <c r="D9" s="46">
        <v>5.49</v>
      </c>
      <c r="E9" s="46">
        <v>6.05</v>
      </c>
      <c r="F9" s="46">
        <v>6.61</v>
      </c>
      <c r="G9" s="48">
        <f t="shared" si="11"/>
        <v>6</v>
      </c>
      <c r="H9" s="45">
        <f t="shared" si="0"/>
        <v>6.88275</v>
      </c>
      <c r="I9" s="45">
        <f t="shared" si="1"/>
        <v>17.0085</v>
      </c>
      <c r="J9" s="45">
        <f t="shared" si="2"/>
        <v>30.88125</v>
      </c>
      <c r="K9" s="45">
        <f t="shared" si="3"/>
        <v>35.163450000000005</v>
      </c>
      <c r="L9" s="45">
        <f t="shared" si="4"/>
        <v>43.741499999999995</v>
      </c>
      <c r="M9" s="45">
        <f t="shared" si="5"/>
        <v>48.36975</v>
      </c>
      <c r="N9" s="45">
        <f t="shared" si="6"/>
        <v>58.08</v>
      </c>
      <c r="O9" s="45">
        <f t="shared" si="7"/>
        <v>78.7251</v>
      </c>
      <c r="P9" s="45">
        <f t="shared" si="8"/>
        <v>95.3823</v>
      </c>
      <c r="Q9" s="45">
        <f t="shared" si="9"/>
        <v>108.8667</v>
      </c>
      <c r="R9" s="45">
        <f t="shared" si="10"/>
        <v>129.98565</v>
      </c>
    </row>
    <row r="10" spans="1:18" s="49" customFormat="1" ht="12.75">
      <c r="A10" s="45">
        <v>300</v>
      </c>
      <c r="B10" s="46">
        <v>4.28</v>
      </c>
      <c r="C10" s="46">
        <v>4.84</v>
      </c>
      <c r="D10" s="46">
        <v>5.4</v>
      </c>
      <c r="E10" s="46">
        <v>5.96</v>
      </c>
      <c r="F10" s="46">
        <v>6.52</v>
      </c>
      <c r="G10" s="48">
        <f t="shared" si="11"/>
        <v>7</v>
      </c>
      <c r="H10" s="45">
        <f t="shared" si="0"/>
        <v>8.0892</v>
      </c>
      <c r="I10" s="45">
        <f t="shared" si="1"/>
        <v>20.0376</v>
      </c>
      <c r="J10" s="45">
        <f t="shared" si="2"/>
        <v>36.45</v>
      </c>
      <c r="K10" s="45">
        <f t="shared" si="3"/>
        <v>41.504400000000004</v>
      </c>
      <c r="L10" s="45">
        <f t="shared" si="4"/>
        <v>51.70896</v>
      </c>
      <c r="M10" s="45">
        <f t="shared" si="5"/>
        <v>57.180240000000005</v>
      </c>
      <c r="N10" s="45">
        <f t="shared" si="6"/>
        <v>68.6592</v>
      </c>
      <c r="O10" s="45">
        <f t="shared" si="7"/>
        <v>93.18383999999998</v>
      </c>
      <c r="P10" s="45">
        <f t="shared" si="8"/>
        <v>112.90032</v>
      </c>
      <c r="Q10" s="45">
        <f t="shared" si="9"/>
        <v>128.86127999999997</v>
      </c>
      <c r="R10" s="45">
        <f t="shared" si="10"/>
        <v>153.85895999999997</v>
      </c>
    </row>
    <row r="11" spans="1:18" s="49" customFormat="1" ht="12.75">
      <c r="A11" s="45">
        <v>350</v>
      </c>
      <c r="B11" s="46">
        <v>4.19</v>
      </c>
      <c r="C11" s="46">
        <v>4.75</v>
      </c>
      <c r="D11" s="46">
        <v>5.31</v>
      </c>
      <c r="E11" s="46">
        <v>5.87</v>
      </c>
      <c r="F11" s="46">
        <v>6.43</v>
      </c>
      <c r="G11" s="48">
        <f t="shared" si="11"/>
        <v>8</v>
      </c>
      <c r="H11" s="45">
        <f t="shared" si="0"/>
        <v>9.238950000000003</v>
      </c>
      <c r="I11" s="45">
        <f t="shared" si="1"/>
        <v>22.9425</v>
      </c>
      <c r="J11" s="45">
        <f t="shared" si="2"/>
        <v>41.81624999999999</v>
      </c>
      <c r="K11" s="45">
        <f t="shared" si="3"/>
        <v>47.61476999999999</v>
      </c>
      <c r="L11" s="45">
        <f t="shared" si="4"/>
        <v>59.416140000000006</v>
      </c>
      <c r="M11" s="45">
        <f t="shared" si="5"/>
        <v>65.70291</v>
      </c>
      <c r="N11" s="45">
        <f t="shared" si="6"/>
        <v>78.8928</v>
      </c>
      <c r="O11" s="45">
        <f t="shared" si="7"/>
        <v>107.21382</v>
      </c>
      <c r="P11" s="45">
        <f t="shared" si="8"/>
        <v>129.89886</v>
      </c>
      <c r="Q11" s="45">
        <f t="shared" si="9"/>
        <v>148.26294</v>
      </c>
      <c r="R11" s="45">
        <f t="shared" si="10"/>
        <v>177.02433000000002</v>
      </c>
    </row>
    <row r="12" spans="1:18" s="49" customFormat="1" ht="12.75">
      <c r="A12" s="45">
        <v>400</v>
      </c>
      <c r="B12" s="46">
        <v>4.1</v>
      </c>
      <c r="C12" s="46">
        <v>4.66</v>
      </c>
      <c r="D12" s="46">
        <v>5.22</v>
      </c>
      <c r="E12" s="46">
        <v>5.78</v>
      </c>
      <c r="F12" s="46">
        <v>6.34</v>
      </c>
      <c r="G12" s="48">
        <f t="shared" si="11"/>
        <v>9</v>
      </c>
      <c r="H12" s="45">
        <f t="shared" si="0"/>
        <v>10.331999999999999</v>
      </c>
      <c r="I12" s="45">
        <f t="shared" si="1"/>
        <v>25.723200000000002</v>
      </c>
      <c r="J12" s="45">
        <f t="shared" si="2"/>
        <v>46.98</v>
      </c>
      <c r="K12" s="45">
        <f t="shared" si="3"/>
        <v>53.49456</v>
      </c>
      <c r="L12" s="45">
        <f t="shared" si="4"/>
        <v>66.86304</v>
      </c>
      <c r="M12" s="45">
        <f t="shared" si="5"/>
        <v>73.93776</v>
      </c>
      <c r="N12" s="45">
        <f t="shared" si="6"/>
        <v>88.7808</v>
      </c>
      <c r="O12" s="45">
        <f t="shared" si="7"/>
        <v>120.81504000000001</v>
      </c>
      <c r="P12" s="45">
        <f t="shared" si="8"/>
        <v>146.37792</v>
      </c>
      <c r="Q12" s="45">
        <f t="shared" si="9"/>
        <v>167.07168000000001</v>
      </c>
      <c r="R12" s="45">
        <f t="shared" si="10"/>
        <v>199.48176</v>
      </c>
    </row>
    <row r="13" spans="1:18" s="49" customFormat="1" ht="12.75">
      <c r="A13" s="45">
        <v>450</v>
      </c>
      <c r="B13" s="46">
        <v>4.01</v>
      </c>
      <c r="C13" s="46">
        <v>4.57</v>
      </c>
      <c r="D13" s="46">
        <v>5.13</v>
      </c>
      <c r="E13" s="46">
        <v>5.69</v>
      </c>
      <c r="F13" s="46">
        <v>6.25</v>
      </c>
      <c r="G13" s="48">
        <f t="shared" si="11"/>
        <v>10</v>
      </c>
      <c r="H13" s="45">
        <f t="shared" si="0"/>
        <v>11.36835</v>
      </c>
      <c r="I13" s="45">
        <f t="shared" si="1"/>
        <v>28.379700000000003</v>
      </c>
      <c r="J13" s="45">
        <f t="shared" si="2"/>
        <v>51.94125</v>
      </c>
      <c r="K13" s="45">
        <f t="shared" si="3"/>
        <v>59.14377</v>
      </c>
      <c r="L13" s="45">
        <f t="shared" si="4"/>
        <v>74.04966</v>
      </c>
      <c r="M13" s="45">
        <f t="shared" si="5"/>
        <v>81.88479000000001</v>
      </c>
      <c r="N13" s="45">
        <f t="shared" si="6"/>
        <v>98.3232</v>
      </c>
      <c r="O13" s="45">
        <f t="shared" si="7"/>
        <v>133.9875</v>
      </c>
      <c r="P13" s="45">
        <f t="shared" si="8"/>
        <v>162.3375</v>
      </c>
      <c r="Q13" s="45">
        <f t="shared" si="9"/>
        <v>185.2875</v>
      </c>
      <c r="R13" s="45">
        <f t="shared" si="10"/>
        <v>221.23125</v>
      </c>
    </row>
    <row r="14" spans="1:18" s="49" customFormat="1" ht="12.75">
      <c r="A14" s="45">
        <v>500</v>
      </c>
      <c r="B14" s="46">
        <v>3.92</v>
      </c>
      <c r="C14" s="46">
        <v>4.48</v>
      </c>
      <c r="D14" s="46">
        <v>5.04</v>
      </c>
      <c r="E14" s="46">
        <v>5.6</v>
      </c>
      <c r="F14" s="46">
        <v>6.16</v>
      </c>
      <c r="G14" s="48">
        <f t="shared" si="11"/>
        <v>11</v>
      </c>
      <c r="H14" s="45">
        <f t="shared" si="0"/>
        <v>12.347999999999999</v>
      </c>
      <c r="I14" s="45">
        <f t="shared" si="1"/>
        <v>30.912000000000003</v>
      </c>
      <c r="J14" s="45">
        <f t="shared" si="2"/>
        <v>56.7</v>
      </c>
      <c r="K14" s="45">
        <f t="shared" si="3"/>
        <v>64.5624</v>
      </c>
      <c r="L14" s="45">
        <f t="shared" si="4"/>
        <v>80.976</v>
      </c>
      <c r="M14" s="45">
        <f t="shared" si="5"/>
        <v>89.544</v>
      </c>
      <c r="N14" s="45">
        <f t="shared" si="6"/>
        <v>107.52</v>
      </c>
      <c r="O14" s="45">
        <f t="shared" si="7"/>
        <v>146.7312</v>
      </c>
      <c r="P14" s="45">
        <f t="shared" si="8"/>
        <v>177.7776</v>
      </c>
      <c r="Q14" s="45">
        <f t="shared" si="9"/>
        <v>202.9104</v>
      </c>
      <c r="R14" s="45">
        <f t="shared" si="10"/>
        <v>242.2728</v>
      </c>
    </row>
    <row r="15" spans="1:18" s="49" customFormat="1" ht="12.75">
      <c r="A15" s="45">
        <v>550</v>
      </c>
      <c r="B15" s="46">
        <v>3.83</v>
      </c>
      <c r="C15" s="46">
        <v>4.39</v>
      </c>
      <c r="D15" s="46">
        <v>4.95</v>
      </c>
      <c r="E15" s="46">
        <v>5.51</v>
      </c>
      <c r="F15" s="46">
        <v>6.07</v>
      </c>
      <c r="G15" s="48">
        <f t="shared" si="11"/>
        <v>12</v>
      </c>
      <c r="H15" s="45">
        <f t="shared" si="0"/>
        <v>13.270950000000001</v>
      </c>
      <c r="I15" s="45">
        <f t="shared" si="1"/>
        <v>33.320100000000004</v>
      </c>
      <c r="J15" s="45">
        <f t="shared" si="2"/>
        <v>61.25625</v>
      </c>
      <c r="K15" s="45">
        <f t="shared" si="3"/>
        <v>69.75045</v>
      </c>
      <c r="L15" s="45">
        <f t="shared" si="4"/>
        <v>87.64206</v>
      </c>
      <c r="M15" s="45">
        <f t="shared" si="5"/>
        <v>96.91539</v>
      </c>
      <c r="N15" s="45">
        <f t="shared" si="6"/>
        <v>116.3712</v>
      </c>
      <c r="O15" s="45">
        <f t="shared" si="7"/>
        <v>159.04614</v>
      </c>
      <c r="P15" s="45">
        <f t="shared" si="8"/>
        <v>192.69822</v>
      </c>
      <c r="Q15" s="45">
        <f t="shared" si="9"/>
        <v>219.94038</v>
      </c>
      <c r="R15" s="45">
        <f t="shared" si="10"/>
        <v>262.60641</v>
      </c>
    </row>
    <row r="16" spans="1:18" ht="12.75">
      <c r="A16" s="50">
        <v>600</v>
      </c>
      <c r="B16" s="51">
        <v>3.74</v>
      </c>
      <c r="C16" s="51">
        <v>4.3</v>
      </c>
      <c r="D16" s="51">
        <v>4.86</v>
      </c>
      <c r="E16" s="51">
        <v>5.42</v>
      </c>
      <c r="F16" s="51">
        <v>5.98</v>
      </c>
      <c r="G16" s="48">
        <f t="shared" si="11"/>
        <v>13</v>
      </c>
      <c r="H16" s="45">
        <f t="shared" si="0"/>
        <v>14.1372</v>
      </c>
      <c r="I16" s="45">
        <f t="shared" si="1"/>
        <v>35.604</v>
      </c>
      <c r="J16" s="45">
        <f t="shared" si="2"/>
        <v>65.61</v>
      </c>
      <c r="K16" s="45">
        <f t="shared" si="3"/>
        <v>74.70792</v>
      </c>
      <c r="L16" s="45">
        <f t="shared" si="4"/>
        <v>94.04784</v>
      </c>
      <c r="M16" s="45">
        <f t="shared" si="5"/>
        <v>103.99896000000001</v>
      </c>
      <c r="N16" s="45">
        <f t="shared" si="6"/>
        <v>124.8768</v>
      </c>
      <c r="O16" s="45">
        <f t="shared" si="7"/>
        <v>170.93232000000003</v>
      </c>
      <c r="P16" s="45">
        <f t="shared" si="8"/>
        <v>207.09936000000002</v>
      </c>
      <c r="Q16" s="45">
        <f t="shared" si="9"/>
        <v>236.37744000000004</v>
      </c>
      <c r="R16" s="45">
        <f t="shared" si="10"/>
        <v>282.23208000000005</v>
      </c>
    </row>
    <row r="17" spans="1:18" s="49" customFormat="1" ht="12.75">
      <c r="A17" s="45">
        <v>650</v>
      </c>
      <c r="B17" s="46">
        <v>3.65</v>
      </c>
      <c r="C17" s="46">
        <v>4.21</v>
      </c>
      <c r="D17" s="46">
        <v>4.77</v>
      </c>
      <c r="E17" s="46">
        <v>5.33</v>
      </c>
      <c r="F17" s="46">
        <v>5.89</v>
      </c>
      <c r="G17" s="48">
        <f t="shared" si="11"/>
        <v>14</v>
      </c>
      <c r="H17" s="45">
        <f t="shared" si="0"/>
        <v>14.94675</v>
      </c>
      <c r="I17" s="45">
        <f t="shared" si="1"/>
        <v>37.7637</v>
      </c>
      <c r="J17" s="45">
        <f t="shared" si="2"/>
        <v>69.76124999999999</v>
      </c>
      <c r="K17" s="45">
        <f t="shared" si="3"/>
        <v>79.43480999999998</v>
      </c>
      <c r="L17" s="45">
        <f t="shared" si="4"/>
        <v>100.19334</v>
      </c>
      <c r="M17" s="45">
        <f t="shared" si="5"/>
        <v>110.79471</v>
      </c>
      <c r="N17" s="45">
        <f t="shared" si="6"/>
        <v>133.0368</v>
      </c>
      <c r="O17" s="45">
        <f t="shared" si="7"/>
        <v>182.38974000000002</v>
      </c>
      <c r="P17" s="45">
        <f t="shared" si="8"/>
        <v>220.98102</v>
      </c>
      <c r="Q17" s="45">
        <f t="shared" si="9"/>
        <v>252.22158</v>
      </c>
      <c r="R17" s="45">
        <f t="shared" si="10"/>
        <v>301.14981</v>
      </c>
    </row>
    <row r="18" spans="1:18" ht="12.75">
      <c r="A18" s="50">
        <v>700</v>
      </c>
      <c r="B18" s="51">
        <v>3.56</v>
      </c>
      <c r="C18" s="51">
        <v>4.12</v>
      </c>
      <c r="D18" s="51">
        <v>4.68</v>
      </c>
      <c r="E18" s="51">
        <v>5.24</v>
      </c>
      <c r="F18" s="51">
        <v>5.8</v>
      </c>
      <c r="G18" s="48">
        <f t="shared" si="11"/>
        <v>15</v>
      </c>
      <c r="H18" s="45">
        <f t="shared" si="0"/>
        <v>15.6996</v>
      </c>
      <c r="I18" s="45">
        <f t="shared" si="1"/>
        <v>39.7992</v>
      </c>
      <c r="J18" s="45">
        <f t="shared" si="2"/>
        <v>73.71</v>
      </c>
      <c r="K18" s="45">
        <f t="shared" si="3"/>
        <v>83.93112</v>
      </c>
      <c r="L18" s="45">
        <f t="shared" si="4"/>
        <v>106.07856</v>
      </c>
      <c r="M18" s="45">
        <f t="shared" si="5"/>
        <v>117.30264000000001</v>
      </c>
      <c r="N18" s="45">
        <f t="shared" si="6"/>
        <v>140.8512</v>
      </c>
      <c r="O18" s="45">
        <f t="shared" si="7"/>
        <v>193.4184</v>
      </c>
      <c r="P18" s="45">
        <f t="shared" si="8"/>
        <v>234.3432</v>
      </c>
      <c r="Q18" s="45">
        <f t="shared" si="9"/>
        <v>267.4728</v>
      </c>
      <c r="R18" s="45">
        <f t="shared" si="10"/>
        <v>319.3596</v>
      </c>
    </row>
    <row r="19" spans="1:18" ht="12.75">
      <c r="A19" s="50">
        <v>750</v>
      </c>
      <c r="B19" s="51">
        <v>3.47</v>
      </c>
      <c r="C19" s="51">
        <v>4.03</v>
      </c>
      <c r="D19" s="51">
        <v>4.59</v>
      </c>
      <c r="E19" s="51">
        <v>5.15</v>
      </c>
      <c r="F19" s="51">
        <v>5.71</v>
      </c>
      <c r="G19" s="48">
        <f t="shared" si="11"/>
        <v>16</v>
      </c>
      <c r="H19" s="45">
        <f t="shared" si="0"/>
        <v>16.39575</v>
      </c>
      <c r="I19" s="45">
        <f t="shared" si="1"/>
        <v>41.7105</v>
      </c>
      <c r="J19" s="45">
        <f t="shared" si="2"/>
        <v>77.45625</v>
      </c>
      <c r="K19" s="45">
        <f t="shared" si="3"/>
        <v>88.19685</v>
      </c>
      <c r="L19" s="45">
        <f t="shared" si="4"/>
        <v>111.70350000000002</v>
      </c>
      <c r="M19" s="45">
        <f t="shared" si="5"/>
        <v>123.52275000000002</v>
      </c>
      <c r="N19" s="45">
        <f t="shared" si="6"/>
        <v>148.32000000000005</v>
      </c>
      <c r="O19" s="45">
        <f t="shared" si="7"/>
        <v>204.0183</v>
      </c>
      <c r="P19" s="45">
        <f t="shared" si="8"/>
        <v>247.1859</v>
      </c>
      <c r="Q19" s="45">
        <f t="shared" si="9"/>
        <v>282.1311</v>
      </c>
      <c r="R19" s="45">
        <f t="shared" si="10"/>
        <v>336.86145000000005</v>
      </c>
    </row>
    <row r="20" spans="1:18" ht="12.75">
      <c r="A20" s="50">
        <v>800</v>
      </c>
      <c r="B20" s="51">
        <v>3.38</v>
      </c>
      <c r="C20" s="51">
        <v>3.94</v>
      </c>
      <c r="D20" s="51">
        <v>4.5</v>
      </c>
      <c r="E20" s="51">
        <v>5.06</v>
      </c>
      <c r="F20" s="51">
        <v>5.62</v>
      </c>
      <c r="G20" s="48">
        <f t="shared" si="11"/>
        <v>17</v>
      </c>
      <c r="H20" s="45">
        <f t="shared" si="0"/>
        <v>17.0352</v>
      </c>
      <c r="I20" s="45">
        <f t="shared" si="1"/>
        <v>43.497600000000006</v>
      </c>
      <c r="J20" s="45">
        <f t="shared" si="2"/>
        <v>81</v>
      </c>
      <c r="K20" s="45">
        <f t="shared" si="3"/>
        <v>92.23200000000001</v>
      </c>
      <c r="L20" s="45">
        <f t="shared" si="4"/>
        <v>117.06815999999999</v>
      </c>
      <c r="M20" s="45">
        <f t="shared" si="5"/>
        <v>129.45503999999997</v>
      </c>
      <c r="N20" s="45">
        <f t="shared" si="6"/>
        <v>155.4432</v>
      </c>
      <c r="O20" s="45">
        <f t="shared" si="7"/>
        <v>214.18944</v>
      </c>
      <c r="P20" s="45">
        <f t="shared" si="8"/>
        <v>259.50912</v>
      </c>
      <c r="Q20" s="45">
        <f t="shared" si="9"/>
        <v>296.19648</v>
      </c>
      <c r="R20" s="45">
        <f t="shared" si="10"/>
        <v>353.65536</v>
      </c>
    </row>
    <row r="21" spans="1:18" ht="12.75">
      <c r="A21" s="50">
        <v>850</v>
      </c>
      <c r="B21" s="51">
        <v>3.29</v>
      </c>
      <c r="C21" s="51">
        <v>3.85</v>
      </c>
      <c r="D21" s="51">
        <v>4.41</v>
      </c>
      <c r="E21" s="51">
        <v>4.97</v>
      </c>
      <c r="F21" s="51">
        <v>5.53</v>
      </c>
      <c r="G21" s="48">
        <f t="shared" si="11"/>
        <v>18</v>
      </c>
      <c r="H21" s="45">
        <f t="shared" si="0"/>
        <v>17.61795</v>
      </c>
      <c r="I21" s="45">
        <f t="shared" si="1"/>
        <v>45.1605</v>
      </c>
      <c r="J21" s="45">
        <f t="shared" si="2"/>
        <v>84.34125</v>
      </c>
      <c r="K21" s="45">
        <f t="shared" si="3"/>
        <v>96.03657000000001</v>
      </c>
      <c r="L21" s="45">
        <f t="shared" si="4"/>
        <v>122.17254000000001</v>
      </c>
      <c r="M21" s="45">
        <f t="shared" si="5"/>
        <v>135.09951</v>
      </c>
      <c r="N21" s="45">
        <f t="shared" si="6"/>
        <v>162.2208</v>
      </c>
      <c r="O21" s="45">
        <f t="shared" si="7"/>
        <v>223.93182000000002</v>
      </c>
      <c r="P21" s="45">
        <f t="shared" si="8"/>
        <v>271.31286</v>
      </c>
      <c r="Q21" s="45">
        <f t="shared" si="9"/>
        <v>309.66894</v>
      </c>
      <c r="R21" s="45">
        <f t="shared" si="10"/>
        <v>369.74133</v>
      </c>
    </row>
    <row r="22" spans="1:18" ht="12.75">
      <c r="A22" s="50">
        <v>900</v>
      </c>
      <c r="B22" s="51">
        <v>3.2</v>
      </c>
      <c r="C22" s="51">
        <v>3.76</v>
      </c>
      <c r="D22" s="51">
        <v>4.32</v>
      </c>
      <c r="E22" s="51">
        <v>4.88</v>
      </c>
      <c r="F22" s="51">
        <v>5.44</v>
      </c>
      <c r="G22" s="48">
        <f t="shared" si="11"/>
        <v>19</v>
      </c>
      <c r="H22" s="45">
        <f t="shared" si="0"/>
        <v>18.144000000000002</v>
      </c>
      <c r="I22" s="45">
        <f t="shared" si="1"/>
        <v>46.6992</v>
      </c>
      <c r="J22" s="45">
        <f t="shared" si="2"/>
        <v>87.48000000000002</v>
      </c>
      <c r="K22" s="45">
        <f t="shared" si="3"/>
        <v>99.61056000000002</v>
      </c>
      <c r="L22" s="45">
        <f t="shared" si="4"/>
        <v>127.01664000000001</v>
      </c>
      <c r="M22" s="45">
        <f t="shared" si="5"/>
        <v>140.45616</v>
      </c>
      <c r="N22" s="45">
        <f t="shared" si="6"/>
        <v>168.65279999999998</v>
      </c>
      <c r="O22" s="45">
        <f t="shared" si="7"/>
        <v>233.24544000000003</v>
      </c>
      <c r="P22" s="45">
        <f t="shared" si="8"/>
        <v>282.59712</v>
      </c>
      <c r="Q22" s="45">
        <f t="shared" si="9"/>
        <v>322.54848000000004</v>
      </c>
      <c r="R22" s="45">
        <f t="shared" si="10"/>
        <v>385.11936000000003</v>
      </c>
    </row>
    <row r="23" spans="1:18" ht="12.75">
      <c r="A23" s="50">
        <v>950</v>
      </c>
      <c r="B23" s="51">
        <v>3.11</v>
      </c>
      <c r="C23" s="51">
        <v>3.67</v>
      </c>
      <c r="D23" s="51">
        <v>4.23</v>
      </c>
      <c r="E23" s="51">
        <v>4.79</v>
      </c>
      <c r="F23" s="51">
        <v>5.35</v>
      </c>
      <c r="G23" s="48">
        <f t="shared" si="11"/>
        <v>20</v>
      </c>
      <c r="H23" s="45">
        <f t="shared" si="0"/>
        <v>18.61335</v>
      </c>
      <c r="I23" s="45">
        <f t="shared" si="1"/>
        <v>48.1137</v>
      </c>
      <c r="J23" s="45">
        <f t="shared" si="2"/>
        <v>90.41625000000002</v>
      </c>
      <c r="K23" s="45">
        <f t="shared" si="3"/>
        <v>102.95397000000001</v>
      </c>
      <c r="L23" s="45">
        <f t="shared" si="4"/>
        <v>131.60046</v>
      </c>
      <c r="M23" s="45">
        <f t="shared" si="5"/>
        <v>145.52499</v>
      </c>
      <c r="N23" s="45">
        <f t="shared" si="6"/>
        <v>174.7392</v>
      </c>
      <c r="O23" s="45">
        <f t="shared" si="7"/>
        <v>242.13029999999998</v>
      </c>
      <c r="P23" s="45">
        <f t="shared" si="8"/>
        <v>293.36190000000005</v>
      </c>
      <c r="Q23" s="45">
        <f t="shared" si="9"/>
        <v>334.8351</v>
      </c>
      <c r="R23" s="45">
        <f t="shared" si="10"/>
        <v>399.78945</v>
      </c>
    </row>
    <row r="24" spans="1:18" ht="12.75">
      <c r="A24" s="50">
        <v>1000</v>
      </c>
      <c r="B24" s="51">
        <v>3.02</v>
      </c>
      <c r="C24" s="51">
        <v>3.58</v>
      </c>
      <c r="D24" s="51">
        <v>4.14</v>
      </c>
      <c r="E24" s="51">
        <v>4.7</v>
      </c>
      <c r="F24" s="51">
        <v>5.26</v>
      </c>
      <c r="G24" s="48">
        <f t="shared" si="11"/>
        <v>21</v>
      </c>
      <c r="H24" s="45">
        <f t="shared" si="0"/>
        <v>19.026</v>
      </c>
      <c r="I24" s="45">
        <f t="shared" si="1"/>
        <v>49.404</v>
      </c>
      <c r="J24" s="45">
        <f t="shared" si="2"/>
        <v>93.15</v>
      </c>
      <c r="K24" s="45">
        <f t="shared" si="3"/>
        <v>106.0668</v>
      </c>
      <c r="L24" s="45">
        <f t="shared" si="4"/>
        <v>135.924</v>
      </c>
      <c r="M24" s="45">
        <f t="shared" si="5"/>
        <v>150.306</v>
      </c>
      <c r="N24" s="45">
        <f t="shared" si="6"/>
        <v>180.48</v>
      </c>
      <c r="O24" s="45">
        <f t="shared" si="7"/>
        <v>250.5864</v>
      </c>
      <c r="P24" s="45">
        <f t="shared" si="8"/>
        <v>303.60720000000003</v>
      </c>
      <c r="Q24" s="45">
        <f t="shared" si="9"/>
        <v>346.5288</v>
      </c>
      <c r="R24" s="45">
        <f t="shared" si="10"/>
        <v>413.75160000000005</v>
      </c>
    </row>
    <row r="25" spans="1:18" ht="12.75">
      <c r="A25" s="50">
        <v>1050</v>
      </c>
      <c r="B25" s="51">
        <v>3</v>
      </c>
      <c r="C25" s="51">
        <v>3.56</v>
      </c>
      <c r="D25" s="51">
        <v>4.11</v>
      </c>
      <c r="E25" s="51">
        <v>4.66</v>
      </c>
      <c r="F25" s="51">
        <v>5.22</v>
      </c>
      <c r="G25" s="48">
        <f t="shared" si="11"/>
        <v>22</v>
      </c>
      <c r="H25" s="45">
        <f t="shared" si="0"/>
        <v>19.845</v>
      </c>
      <c r="I25" s="45">
        <f t="shared" si="1"/>
        <v>51.5844</v>
      </c>
      <c r="J25" s="45">
        <f t="shared" si="2"/>
        <v>97.09875</v>
      </c>
      <c r="K25" s="45">
        <f t="shared" si="3"/>
        <v>110.56311</v>
      </c>
      <c r="L25" s="45">
        <f t="shared" si="4"/>
        <v>141.50556</v>
      </c>
      <c r="M25" s="45">
        <f t="shared" si="5"/>
        <v>156.47814</v>
      </c>
      <c r="N25" s="45">
        <f t="shared" si="6"/>
        <v>187.8912</v>
      </c>
      <c r="O25" s="45">
        <f t="shared" si="7"/>
        <v>261.11484</v>
      </c>
      <c r="P25" s="45">
        <f t="shared" si="8"/>
        <v>316.36332000000004</v>
      </c>
      <c r="Q25" s="45">
        <f t="shared" si="9"/>
        <v>361.08828</v>
      </c>
      <c r="R25" s="45">
        <f t="shared" si="10"/>
        <v>431.13546</v>
      </c>
    </row>
    <row r="26" spans="1:18" ht="12.75">
      <c r="A26" s="50">
        <v>1100</v>
      </c>
      <c r="B26" s="51">
        <v>2.98</v>
      </c>
      <c r="C26" s="51">
        <v>3.54</v>
      </c>
      <c r="D26" s="51">
        <v>4.08</v>
      </c>
      <c r="E26" s="51">
        <v>4.63</v>
      </c>
      <c r="F26" s="51">
        <v>5.18</v>
      </c>
      <c r="G26" s="48">
        <f t="shared" si="11"/>
        <v>23</v>
      </c>
      <c r="H26" s="45">
        <f t="shared" si="0"/>
        <v>20.6514</v>
      </c>
      <c r="I26" s="45">
        <f t="shared" si="1"/>
        <v>53.7372</v>
      </c>
      <c r="J26" s="45">
        <f t="shared" si="2"/>
        <v>100.98</v>
      </c>
      <c r="K26" s="45">
        <f t="shared" si="3"/>
        <v>114.98255999999999</v>
      </c>
      <c r="L26" s="45">
        <f t="shared" si="4"/>
        <v>147.28956</v>
      </c>
      <c r="M26" s="45">
        <f t="shared" si="5"/>
        <v>162.87414</v>
      </c>
      <c r="N26" s="45">
        <f t="shared" si="6"/>
        <v>195.57119999999998</v>
      </c>
      <c r="O26" s="45">
        <f t="shared" si="7"/>
        <v>271.45272</v>
      </c>
      <c r="P26" s="45">
        <f t="shared" si="8"/>
        <v>328.88856</v>
      </c>
      <c r="Q26" s="45">
        <f t="shared" si="9"/>
        <v>375.38424</v>
      </c>
      <c r="R26" s="45">
        <f t="shared" si="10"/>
        <v>448.20468</v>
      </c>
    </row>
    <row r="27" spans="1:18" ht="12.75">
      <c r="A27" s="50">
        <v>1150</v>
      </c>
      <c r="B27" s="51">
        <v>2.96</v>
      </c>
      <c r="C27" s="51">
        <v>3.51</v>
      </c>
      <c r="D27" s="51">
        <v>4.05</v>
      </c>
      <c r="E27" s="51">
        <v>4.6</v>
      </c>
      <c r="F27" s="51">
        <v>5.14</v>
      </c>
      <c r="G27" s="48">
        <f t="shared" si="11"/>
        <v>24</v>
      </c>
      <c r="H27" s="45">
        <f t="shared" si="0"/>
        <v>21.4452</v>
      </c>
      <c r="I27" s="45">
        <f t="shared" si="1"/>
        <v>55.70369999999999</v>
      </c>
      <c r="J27" s="45">
        <f t="shared" si="2"/>
        <v>104.79375</v>
      </c>
      <c r="K27" s="45">
        <f t="shared" si="3"/>
        <v>119.32515</v>
      </c>
      <c r="L27" s="45">
        <f t="shared" si="4"/>
        <v>152.98680000000002</v>
      </c>
      <c r="M27" s="45">
        <f t="shared" si="5"/>
        <v>169.1742</v>
      </c>
      <c r="N27" s="45">
        <f t="shared" si="6"/>
        <v>203.13600000000002</v>
      </c>
      <c r="O27" s="45">
        <f t="shared" si="7"/>
        <v>281.60004000000004</v>
      </c>
      <c r="P27" s="45">
        <f t="shared" si="8"/>
        <v>341.18292</v>
      </c>
      <c r="Q27" s="45">
        <f t="shared" si="9"/>
        <v>389.41668</v>
      </c>
      <c r="R27" s="45">
        <f t="shared" si="10"/>
        <v>464.95926</v>
      </c>
    </row>
    <row r="28" spans="1:18" ht="12.75">
      <c r="A28" s="50">
        <v>1200</v>
      </c>
      <c r="B28" s="51">
        <v>2.94</v>
      </c>
      <c r="C28" s="51">
        <v>3.49</v>
      </c>
      <c r="D28" s="51">
        <v>4.02</v>
      </c>
      <c r="E28" s="51">
        <v>4.56</v>
      </c>
      <c r="F28" s="51">
        <v>5.1</v>
      </c>
      <c r="G28" s="48">
        <f t="shared" si="11"/>
        <v>25</v>
      </c>
      <c r="H28" s="45">
        <f t="shared" si="0"/>
        <v>22.226399999999998</v>
      </c>
      <c r="I28" s="45">
        <f t="shared" si="1"/>
        <v>57.7944</v>
      </c>
      <c r="J28" s="45">
        <f t="shared" si="2"/>
        <v>108.53999999999998</v>
      </c>
      <c r="K28" s="45">
        <f t="shared" si="3"/>
        <v>123.59087999999998</v>
      </c>
      <c r="L28" s="45">
        <f t="shared" si="4"/>
        <v>158.25023999999996</v>
      </c>
      <c r="M28" s="45">
        <f t="shared" si="5"/>
        <v>174.99455999999998</v>
      </c>
      <c r="N28" s="45">
        <f t="shared" si="6"/>
        <v>210.12479999999996</v>
      </c>
      <c r="O28" s="45">
        <f t="shared" si="7"/>
        <v>291.5568</v>
      </c>
      <c r="P28" s="45">
        <f t="shared" si="8"/>
        <v>353.2464</v>
      </c>
      <c r="Q28" s="45">
        <f t="shared" si="9"/>
        <v>403.18559999999997</v>
      </c>
      <c r="R28" s="45">
        <f t="shared" si="10"/>
        <v>481.3992</v>
      </c>
    </row>
    <row r="29" spans="1:18" ht="12.75">
      <c r="A29" s="50">
        <v>1250</v>
      </c>
      <c r="B29" s="51">
        <v>2.92</v>
      </c>
      <c r="C29" s="51">
        <v>3.46</v>
      </c>
      <c r="D29" s="51">
        <v>3.99</v>
      </c>
      <c r="E29" s="51">
        <v>4.53</v>
      </c>
      <c r="F29" s="51">
        <v>5.07</v>
      </c>
      <c r="G29" s="48">
        <f t="shared" si="11"/>
        <v>26</v>
      </c>
      <c r="H29" s="45">
        <f t="shared" si="0"/>
        <v>22.995</v>
      </c>
      <c r="I29" s="45">
        <f t="shared" si="1"/>
        <v>59.685</v>
      </c>
      <c r="J29" s="45">
        <f t="shared" si="2"/>
        <v>112.21875</v>
      </c>
      <c r="K29" s="45">
        <f t="shared" si="3"/>
        <v>127.77975</v>
      </c>
      <c r="L29" s="45">
        <f t="shared" si="4"/>
        <v>163.7595</v>
      </c>
      <c r="M29" s="45">
        <f t="shared" si="5"/>
        <v>181.08675</v>
      </c>
      <c r="N29" s="45">
        <f t="shared" si="6"/>
        <v>217.44</v>
      </c>
      <c r="O29" s="45">
        <f t="shared" si="7"/>
        <v>301.9185</v>
      </c>
      <c r="P29" s="45">
        <f t="shared" si="8"/>
        <v>365.80050000000006</v>
      </c>
      <c r="Q29" s="45">
        <f t="shared" si="9"/>
        <v>417.51450000000006</v>
      </c>
      <c r="R29" s="45">
        <f t="shared" si="10"/>
        <v>498.50775</v>
      </c>
    </row>
    <row r="30" spans="1:18" ht="12.75">
      <c r="A30" s="50">
        <v>1300</v>
      </c>
      <c r="B30" s="51">
        <v>2.9</v>
      </c>
      <c r="C30" s="51">
        <v>3.44</v>
      </c>
      <c r="D30" s="51">
        <v>3.96</v>
      </c>
      <c r="E30" s="51">
        <v>4.5</v>
      </c>
      <c r="F30" s="51">
        <v>5.04</v>
      </c>
      <c r="G30" s="48">
        <f t="shared" si="11"/>
        <v>27</v>
      </c>
      <c r="H30" s="45">
        <f t="shared" si="0"/>
        <v>23.750999999999998</v>
      </c>
      <c r="I30" s="45">
        <f t="shared" si="1"/>
        <v>61.71360000000001</v>
      </c>
      <c r="J30" s="45">
        <f t="shared" si="2"/>
        <v>115.83</v>
      </c>
      <c r="K30" s="45">
        <f t="shared" si="3"/>
        <v>131.89176</v>
      </c>
      <c r="L30" s="45">
        <f t="shared" si="4"/>
        <v>169.18200000000002</v>
      </c>
      <c r="M30" s="45">
        <f t="shared" si="5"/>
        <v>187.083</v>
      </c>
      <c r="N30" s="45">
        <f t="shared" si="6"/>
        <v>224.64</v>
      </c>
      <c r="O30" s="45">
        <f t="shared" si="7"/>
        <v>312.13728</v>
      </c>
      <c r="P30" s="45">
        <f t="shared" si="8"/>
        <v>378.18144</v>
      </c>
      <c r="Q30" s="45">
        <f t="shared" si="9"/>
        <v>431.64576</v>
      </c>
      <c r="R30" s="45">
        <f t="shared" si="10"/>
        <v>515.38032</v>
      </c>
    </row>
    <row r="31" spans="1:18" ht="12.75">
      <c r="A31" s="50">
        <v>1350</v>
      </c>
      <c r="B31" s="51">
        <v>2.88</v>
      </c>
      <c r="C31" s="51">
        <v>3.41</v>
      </c>
      <c r="D31" s="51">
        <v>3.93</v>
      </c>
      <c r="E31" s="51">
        <v>4.46</v>
      </c>
      <c r="F31" s="51">
        <v>4.99</v>
      </c>
      <c r="G31" s="48">
        <f t="shared" si="11"/>
        <v>28</v>
      </c>
      <c r="H31" s="45">
        <f t="shared" si="0"/>
        <v>24.4944</v>
      </c>
      <c r="I31" s="45">
        <f t="shared" si="1"/>
        <v>63.5283</v>
      </c>
      <c r="J31" s="45">
        <f t="shared" si="2"/>
        <v>119.37375</v>
      </c>
      <c r="K31" s="45">
        <f t="shared" si="3"/>
        <v>135.92691000000002</v>
      </c>
      <c r="L31" s="45">
        <f t="shared" si="4"/>
        <v>174.12732</v>
      </c>
      <c r="M31" s="45">
        <f t="shared" si="5"/>
        <v>192.55158</v>
      </c>
      <c r="N31" s="45">
        <f t="shared" si="6"/>
        <v>231.2064</v>
      </c>
      <c r="O31" s="45">
        <f t="shared" si="7"/>
        <v>320.92686000000003</v>
      </c>
      <c r="P31" s="45">
        <f t="shared" si="8"/>
        <v>388.83078</v>
      </c>
      <c r="Q31" s="45">
        <f t="shared" si="9"/>
        <v>443.80062</v>
      </c>
      <c r="R31" s="45">
        <f t="shared" si="10"/>
        <v>529.89309</v>
      </c>
    </row>
    <row r="32" spans="1:18" ht="12.75">
      <c r="A32" s="50">
        <v>1400</v>
      </c>
      <c r="B32" s="51">
        <v>2.86</v>
      </c>
      <c r="C32" s="51">
        <v>3.39</v>
      </c>
      <c r="D32" s="51">
        <v>3.9</v>
      </c>
      <c r="E32" s="51">
        <v>4.43</v>
      </c>
      <c r="F32" s="51">
        <v>4.96</v>
      </c>
      <c r="G32" s="48">
        <f t="shared" si="11"/>
        <v>29</v>
      </c>
      <c r="H32" s="45">
        <f t="shared" si="0"/>
        <v>25.2252</v>
      </c>
      <c r="I32" s="45">
        <f t="shared" si="1"/>
        <v>65.4948</v>
      </c>
      <c r="J32" s="45">
        <f t="shared" si="2"/>
        <v>122.85</v>
      </c>
      <c r="K32" s="45">
        <f t="shared" si="3"/>
        <v>139.8852</v>
      </c>
      <c r="L32" s="45">
        <f t="shared" si="4"/>
        <v>179.36184</v>
      </c>
      <c r="M32" s="45">
        <f t="shared" si="5"/>
        <v>198.33996</v>
      </c>
      <c r="N32" s="45">
        <f t="shared" si="6"/>
        <v>238.1568</v>
      </c>
      <c r="O32" s="45">
        <f t="shared" si="7"/>
        <v>330.81216</v>
      </c>
      <c r="P32" s="45">
        <f t="shared" si="8"/>
        <v>400.80768000000006</v>
      </c>
      <c r="Q32" s="45">
        <f t="shared" si="9"/>
        <v>457.47072000000003</v>
      </c>
      <c r="R32" s="45">
        <f t="shared" si="10"/>
        <v>546.21504</v>
      </c>
    </row>
    <row r="33" spans="1:18" ht="12.75">
      <c r="A33" s="50">
        <v>1450</v>
      </c>
      <c r="B33" s="51">
        <v>2.84</v>
      </c>
      <c r="C33" s="51">
        <v>3.36</v>
      </c>
      <c r="D33" s="51">
        <v>3.87</v>
      </c>
      <c r="E33" s="51">
        <v>4.4</v>
      </c>
      <c r="F33" s="51">
        <v>4.92</v>
      </c>
      <c r="G33" s="48">
        <f t="shared" si="11"/>
        <v>30</v>
      </c>
      <c r="H33" s="45">
        <f t="shared" si="0"/>
        <v>25.9434</v>
      </c>
      <c r="I33" s="45">
        <f t="shared" si="1"/>
        <v>67.23360000000001</v>
      </c>
      <c r="J33" s="45">
        <f t="shared" si="2"/>
        <v>126.25875</v>
      </c>
      <c r="K33" s="45">
        <f t="shared" si="3"/>
        <v>143.76663</v>
      </c>
      <c r="L33" s="45">
        <f t="shared" si="4"/>
        <v>184.50960000000003</v>
      </c>
      <c r="M33" s="45">
        <f t="shared" si="5"/>
        <v>204.03240000000002</v>
      </c>
      <c r="N33" s="45">
        <f t="shared" si="6"/>
        <v>244.99200000000005</v>
      </c>
      <c r="O33" s="45">
        <f t="shared" si="7"/>
        <v>339.86376</v>
      </c>
      <c r="P33" s="45">
        <f t="shared" si="8"/>
        <v>411.77448000000004</v>
      </c>
      <c r="Q33" s="45">
        <f t="shared" si="9"/>
        <v>469.98792000000003</v>
      </c>
      <c r="R33" s="45">
        <f t="shared" si="10"/>
        <v>561.16044</v>
      </c>
    </row>
    <row r="34" spans="1:18" ht="12.75">
      <c r="A34" s="50">
        <v>1500</v>
      </c>
      <c r="B34" s="51">
        <v>2.82</v>
      </c>
      <c r="C34" s="51">
        <v>3.34</v>
      </c>
      <c r="D34" s="51">
        <v>3.85</v>
      </c>
      <c r="E34" s="51">
        <v>4.37</v>
      </c>
      <c r="F34" s="51">
        <v>4.88</v>
      </c>
      <c r="G34" s="48">
        <f t="shared" si="11"/>
        <v>31</v>
      </c>
      <c r="H34" s="45">
        <f t="shared" si="0"/>
        <v>26.649</v>
      </c>
      <c r="I34" s="45">
        <f t="shared" si="1"/>
        <v>69.138</v>
      </c>
      <c r="J34" s="45">
        <f t="shared" si="2"/>
        <v>129.9375</v>
      </c>
      <c r="K34" s="45">
        <f t="shared" si="3"/>
        <v>147.9555</v>
      </c>
      <c r="L34" s="45">
        <f t="shared" si="4"/>
        <v>189.5706</v>
      </c>
      <c r="M34" s="45">
        <f t="shared" si="5"/>
        <v>209.6289</v>
      </c>
      <c r="N34" s="45">
        <f t="shared" si="6"/>
        <v>251.71200000000002</v>
      </c>
      <c r="O34" s="45">
        <f t="shared" si="7"/>
        <v>348.7248</v>
      </c>
      <c r="P34" s="45">
        <f t="shared" si="8"/>
        <v>422.5104</v>
      </c>
      <c r="Q34" s="45">
        <f t="shared" si="9"/>
        <v>482.24160000000006</v>
      </c>
      <c r="R34" s="45">
        <f t="shared" si="10"/>
        <v>575.7912</v>
      </c>
    </row>
    <row r="35" spans="1:18" ht="12.75">
      <c r="A35" s="50">
        <v>1550</v>
      </c>
      <c r="B35" s="51">
        <v>2.8</v>
      </c>
      <c r="C35" s="51">
        <v>3.31</v>
      </c>
      <c r="D35" s="51">
        <v>3.82</v>
      </c>
      <c r="E35" s="51">
        <v>4.34</v>
      </c>
      <c r="F35" s="51">
        <v>4.85</v>
      </c>
      <c r="G35" s="48">
        <f t="shared" si="11"/>
        <v>32</v>
      </c>
      <c r="H35" s="45">
        <f t="shared" si="0"/>
        <v>27.342000000000002</v>
      </c>
      <c r="I35" s="45">
        <f t="shared" si="1"/>
        <v>70.8009</v>
      </c>
      <c r="J35" s="45">
        <f t="shared" si="2"/>
        <v>133.2225</v>
      </c>
      <c r="K35" s="45">
        <f t="shared" si="3"/>
        <v>151.69602</v>
      </c>
      <c r="L35" s="45">
        <f t="shared" si="4"/>
        <v>194.54484</v>
      </c>
      <c r="M35" s="45">
        <f t="shared" si="5"/>
        <v>215.12946</v>
      </c>
      <c r="N35" s="45">
        <f t="shared" si="6"/>
        <v>258.3168</v>
      </c>
      <c r="O35" s="45">
        <f t="shared" si="7"/>
        <v>358.1337</v>
      </c>
      <c r="P35" s="45">
        <f t="shared" si="8"/>
        <v>433.91009999999994</v>
      </c>
      <c r="Q35" s="45">
        <f t="shared" si="9"/>
        <v>495.25289999999995</v>
      </c>
      <c r="R35" s="45">
        <f t="shared" si="10"/>
        <v>591.3265499999999</v>
      </c>
    </row>
    <row r="36" spans="1:18" ht="12.75">
      <c r="A36" s="50">
        <v>1600</v>
      </c>
      <c r="B36" s="51">
        <v>2.78</v>
      </c>
      <c r="C36" s="51">
        <v>3.29</v>
      </c>
      <c r="D36" s="51">
        <v>3.79</v>
      </c>
      <c r="E36" s="51">
        <v>4.32</v>
      </c>
      <c r="F36" s="51">
        <v>4.81</v>
      </c>
      <c r="G36" s="48">
        <f t="shared" si="11"/>
        <v>33</v>
      </c>
      <c r="H36" s="45">
        <f t="shared" si="0"/>
        <v>28.0224</v>
      </c>
      <c r="I36" s="45">
        <f t="shared" si="1"/>
        <v>72.6432</v>
      </c>
      <c r="J36" s="45">
        <f t="shared" si="2"/>
        <v>136.44</v>
      </c>
      <c r="K36" s="45">
        <f t="shared" si="3"/>
        <v>155.35968</v>
      </c>
      <c r="L36" s="45">
        <f t="shared" si="4"/>
        <v>199.89504</v>
      </c>
      <c r="M36" s="45">
        <f t="shared" si="5"/>
        <v>221.04576</v>
      </c>
      <c r="N36" s="45">
        <f t="shared" si="6"/>
        <v>265.42080000000004</v>
      </c>
      <c r="O36" s="45">
        <f t="shared" si="7"/>
        <v>366.63743999999997</v>
      </c>
      <c r="P36" s="45">
        <f t="shared" si="8"/>
        <v>444.21312</v>
      </c>
      <c r="Q36" s="45">
        <f t="shared" si="9"/>
        <v>507.0124799999999</v>
      </c>
      <c r="R36" s="45">
        <f t="shared" si="10"/>
        <v>605.3673599999998</v>
      </c>
    </row>
    <row r="37" spans="1:18" ht="12.75">
      <c r="A37" s="50">
        <v>1650</v>
      </c>
      <c r="B37" s="51">
        <v>2.76</v>
      </c>
      <c r="C37" s="51">
        <v>3.26</v>
      </c>
      <c r="D37" s="51">
        <v>3.76</v>
      </c>
      <c r="E37" s="51">
        <v>4.27</v>
      </c>
      <c r="F37" s="51">
        <v>4.77</v>
      </c>
      <c r="G37" s="48">
        <f t="shared" si="11"/>
        <v>34</v>
      </c>
      <c r="H37" s="45">
        <f aca="true" t="shared" si="12" ref="H37:H68">$A37*$B37*H$2*$C$133*$J$134*$J$135*$J$136/100</f>
        <v>28.6902</v>
      </c>
      <c r="I37" s="45">
        <f aca="true" t="shared" si="13" ref="I37:I68">$A37*$C37*$I$2*$C$133*$J$134*$J$135*$J$136/100</f>
        <v>74.23020000000001</v>
      </c>
      <c r="J37" s="45">
        <f aca="true" t="shared" si="14" ref="J37:J68">$A37*$D37*$J$2*$C$133*$J$134*$J$135*$J$136/100</f>
        <v>139.59</v>
      </c>
      <c r="K37" s="45">
        <f aca="true" t="shared" si="15" ref="K37:K68">$A37*$D37*$K$2*$C$133*$J$134*$J$135*$J$136/100</f>
        <v>158.94648</v>
      </c>
      <c r="L37" s="45">
        <f aca="true" t="shared" si="16" ref="L37:L68">$A37*$E37*$L$2*$C$133*$J$134*$J$135*$J$136/100</f>
        <v>203.75585999999998</v>
      </c>
      <c r="M37" s="45">
        <f aca="true" t="shared" si="17" ref="M37:M68">$A37*$E37*$M$2*$C$133*$J$134*$J$135*$J$136/100</f>
        <v>225.31508999999997</v>
      </c>
      <c r="N37" s="45">
        <f aca="true" t="shared" si="18" ref="N37:N68">$A37*$E37*$N$2*$C$133*$J$134*$J$135*$J$136/100</f>
        <v>270.5471999999999</v>
      </c>
      <c r="O37" s="45">
        <f aca="true" t="shared" si="19" ref="O37:O68">$A37*$F37*$O$2*$C$133*$J$134*$J$135*$J$136/100</f>
        <v>374.95061999999996</v>
      </c>
      <c r="P37" s="45">
        <f aca="true" t="shared" si="20" ref="P37:P68">$A37*$F37*$P$2*$C$133*$J$134*$J$135*$J$136/100</f>
        <v>454.28526</v>
      </c>
      <c r="Q37" s="45">
        <f aca="true" t="shared" si="21" ref="Q37:Q68">$A37*$F37*$Q$2*$C$133*$J$134*$J$135*$J$136/100</f>
        <v>518.5085399999999</v>
      </c>
      <c r="R37" s="45">
        <f aca="true" t="shared" si="22" ref="R37:R68">$A37*$F37*$R$2*$C$133*$J$134*$J$135*$J$136/100</f>
        <v>619.0935299999999</v>
      </c>
    </row>
    <row r="38" spans="1:18" ht="12.75">
      <c r="A38" s="50">
        <v>1700</v>
      </c>
      <c r="B38" s="51">
        <v>2.74</v>
      </c>
      <c r="C38" s="51">
        <v>3.24</v>
      </c>
      <c r="D38" s="51">
        <v>3.73</v>
      </c>
      <c r="E38" s="51">
        <v>4.24</v>
      </c>
      <c r="F38" s="51">
        <v>4.73</v>
      </c>
      <c r="G38" s="48">
        <f aca="true" t="shared" si="23" ref="G38:G69">G37+1</f>
        <v>35</v>
      </c>
      <c r="H38" s="45">
        <f t="shared" si="12"/>
        <v>29.345399999999998</v>
      </c>
      <c r="I38" s="45">
        <f t="shared" si="13"/>
        <v>76.0104</v>
      </c>
      <c r="J38" s="45">
        <f t="shared" si="14"/>
        <v>142.6725</v>
      </c>
      <c r="K38" s="45">
        <f t="shared" si="15"/>
        <v>162.45642</v>
      </c>
      <c r="L38" s="45">
        <f t="shared" si="16"/>
        <v>208.45536</v>
      </c>
      <c r="M38" s="45">
        <f t="shared" si="17"/>
        <v>230.51184</v>
      </c>
      <c r="N38" s="45">
        <f t="shared" si="18"/>
        <v>276.7872</v>
      </c>
      <c r="O38" s="45">
        <f t="shared" si="19"/>
        <v>383.07324000000006</v>
      </c>
      <c r="P38" s="45">
        <f t="shared" si="20"/>
        <v>464.1265200000001</v>
      </c>
      <c r="Q38" s="45">
        <f t="shared" si="21"/>
        <v>529.7410800000001</v>
      </c>
      <c r="R38" s="45">
        <f t="shared" si="22"/>
        <v>632.5050600000002</v>
      </c>
    </row>
    <row r="39" spans="1:18" ht="12.75">
      <c r="A39" s="50">
        <v>1750</v>
      </c>
      <c r="B39" s="51">
        <v>2.72</v>
      </c>
      <c r="C39" s="51">
        <v>3.22</v>
      </c>
      <c r="D39" s="51">
        <v>3.7</v>
      </c>
      <c r="E39" s="51">
        <v>4.21</v>
      </c>
      <c r="F39" s="51">
        <v>4.69</v>
      </c>
      <c r="G39" s="48">
        <f t="shared" si="23"/>
        <v>36</v>
      </c>
      <c r="H39" s="45">
        <f t="shared" si="12"/>
        <v>29.988000000000003</v>
      </c>
      <c r="I39" s="45">
        <f t="shared" si="13"/>
        <v>77.763</v>
      </c>
      <c r="J39" s="45">
        <f t="shared" si="14"/>
        <v>145.6875</v>
      </c>
      <c r="K39" s="45">
        <f t="shared" si="15"/>
        <v>165.8895</v>
      </c>
      <c r="L39" s="45">
        <f t="shared" si="16"/>
        <v>213.06810000000002</v>
      </c>
      <c r="M39" s="45">
        <f t="shared" si="17"/>
        <v>235.61265</v>
      </c>
      <c r="N39" s="45">
        <f t="shared" si="18"/>
        <v>282.91200000000003</v>
      </c>
      <c r="O39" s="45">
        <f t="shared" si="19"/>
        <v>391.0053</v>
      </c>
      <c r="P39" s="45">
        <f t="shared" si="20"/>
        <v>473.73690000000005</v>
      </c>
      <c r="Q39" s="45">
        <f t="shared" si="21"/>
        <v>540.7101</v>
      </c>
      <c r="R39" s="45">
        <f t="shared" si="22"/>
        <v>645.60195</v>
      </c>
    </row>
    <row r="40" spans="1:18" ht="12.75">
      <c r="A40" s="50">
        <v>1800</v>
      </c>
      <c r="B40" s="51">
        <v>2.7</v>
      </c>
      <c r="C40" s="51">
        <v>3.19</v>
      </c>
      <c r="D40" s="51">
        <v>3.67</v>
      </c>
      <c r="E40" s="51">
        <v>4.17</v>
      </c>
      <c r="F40" s="51">
        <v>4.66</v>
      </c>
      <c r="G40" s="48">
        <f t="shared" si="23"/>
        <v>37</v>
      </c>
      <c r="H40" s="45">
        <f t="shared" si="12"/>
        <v>30.618000000000002</v>
      </c>
      <c r="I40" s="45">
        <f t="shared" si="13"/>
        <v>79.2396</v>
      </c>
      <c r="J40" s="45">
        <f t="shared" si="14"/>
        <v>148.635</v>
      </c>
      <c r="K40" s="45">
        <f t="shared" si="15"/>
        <v>169.24572</v>
      </c>
      <c r="L40" s="45">
        <f t="shared" si="16"/>
        <v>217.07352</v>
      </c>
      <c r="M40" s="45">
        <f t="shared" si="17"/>
        <v>240.04188000000002</v>
      </c>
      <c r="N40" s="45">
        <f t="shared" si="18"/>
        <v>288.23040000000003</v>
      </c>
      <c r="O40" s="45">
        <f t="shared" si="19"/>
        <v>399.60432000000003</v>
      </c>
      <c r="P40" s="45">
        <f t="shared" si="20"/>
        <v>484.15536</v>
      </c>
      <c r="Q40" s="45">
        <f t="shared" si="21"/>
        <v>552.60144</v>
      </c>
      <c r="R40" s="45">
        <f t="shared" si="22"/>
        <v>659.80008</v>
      </c>
    </row>
    <row r="41" spans="1:18" ht="12.75">
      <c r="A41" s="50">
        <v>1850</v>
      </c>
      <c r="B41" s="51">
        <v>2.68</v>
      </c>
      <c r="C41" s="51">
        <v>3.17</v>
      </c>
      <c r="D41" s="51">
        <v>3.64</v>
      </c>
      <c r="E41" s="51">
        <v>4.14</v>
      </c>
      <c r="F41" s="51">
        <v>4.62</v>
      </c>
      <c r="G41" s="48">
        <f t="shared" si="23"/>
        <v>38</v>
      </c>
      <c r="H41" s="45">
        <f t="shared" si="12"/>
        <v>31.2354</v>
      </c>
      <c r="I41" s="45">
        <f t="shared" si="13"/>
        <v>80.9301</v>
      </c>
      <c r="J41" s="45">
        <f t="shared" si="14"/>
        <v>151.515</v>
      </c>
      <c r="K41" s="45">
        <f t="shared" si="15"/>
        <v>172.52508</v>
      </c>
      <c r="L41" s="45">
        <f t="shared" si="16"/>
        <v>221.49827999999997</v>
      </c>
      <c r="M41" s="45">
        <f t="shared" si="17"/>
        <v>244.93481999999997</v>
      </c>
      <c r="N41" s="45">
        <f t="shared" si="18"/>
        <v>294.1055999999999</v>
      </c>
      <c r="O41" s="45">
        <f t="shared" si="19"/>
        <v>407.17908000000006</v>
      </c>
      <c r="P41" s="45">
        <f t="shared" si="20"/>
        <v>493.33284</v>
      </c>
      <c r="Q41" s="45">
        <f t="shared" si="21"/>
        <v>563.07636</v>
      </c>
      <c r="R41" s="45">
        <f t="shared" si="22"/>
        <v>672.3070200000001</v>
      </c>
    </row>
    <row r="42" spans="1:18" ht="12.75">
      <c r="A42" s="50">
        <v>1900</v>
      </c>
      <c r="B42" s="51">
        <v>2.66</v>
      </c>
      <c r="C42" s="51">
        <v>3.13</v>
      </c>
      <c r="D42" s="51">
        <v>3.61</v>
      </c>
      <c r="E42" s="51">
        <v>4.11</v>
      </c>
      <c r="F42" s="51">
        <v>4.58</v>
      </c>
      <c r="G42" s="48">
        <f t="shared" si="23"/>
        <v>39</v>
      </c>
      <c r="H42" s="45">
        <f t="shared" si="12"/>
        <v>31.8402</v>
      </c>
      <c r="I42" s="45">
        <f t="shared" si="13"/>
        <v>82.0686</v>
      </c>
      <c r="J42" s="45">
        <f t="shared" si="14"/>
        <v>154.3275</v>
      </c>
      <c r="K42" s="45">
        <f t="shared" si="15"/>
        <v>175.72758000000002</v>
      </c>
      <c r="L42" s="45">
        <f t="shared" si="16"/>
        <v>225.83628000000004</v>
      </c>
      <c r="M42" s="45">
        <f t="shared" si="17"/>
        <v>249.73182000000006</v>
      </c>
      <c r="N42" s="45">
        <f t="shared" si="18"/>
        <v>299.86560000000003</v>
      </c>
      <c r="O42" s="45">
        <f t="shared" si="19"/>
        <v>414.56328</v>
      </c>
      <c r="P42" s="45">
        <f t="shared" si="20"/>
        <v>502.27944</v>
      </c>
      <c r="Q42" s="45">
        <f t="shared" si="21"/>
        <v>573.2877599999999</v>
      </c>
      <c r="R42" s="45">
        <f t="shared" si="22"/>
        <v>684.49932</v>
      </c>
    </row>
    <row r="43" spans="1:18" ht="12.75">
      <c r="A43" s="50">
        <v>1950</v>
      </c>
      <c r="B43" s="51">
        <v>2.64</v>
      </c>
      <c r="C43" s="51">
        <v>3.12</v>
      </c>
      <c r="D43" s="51">
        <v>3.58</v>
      </c>
      <c r="E43" s="51">
        <v>4.07</v>
      </c>
      <c r="F43" s="51">
        <v>4.54</v>
      </c>
      <c r="G43" s="48">
        <f t="shared" si="23"/>
        <v>40</v>
      </c>
      <c r="H43" s="45">
        <f t="shared" si="12"/>
        <v>32.4324</v>
      </c>
      <c r="I43" s="45">
        <f t="shared" si="13"/>
        <v>83.9592</v>
      </c>
      <c r="J43" s="45">
        <f t="shared" si="14"/>
        <v>157.0725</v>
      </c>
      <c r="K43" s="45">
        <f t="shared" si="15"/>
        <v>178.85322</v>
      </c>
      <c r="L43" s="45">
        <f t="shared" si="16"/>
        <v>229.52358000000004</v>
      </c>
      <c r="M43" s="45">
        <f t="shared" si="17"/>
        <v>253.80927000000008</v>
      </c>
      <c r="N43" s="45">
        <f t="shared" si="18"/>
        <v>304.76160000000004</v>
      </c>
      <c r="O43" s="45">
        <f t="shared" si="19"/>
        <v>421.75692000000004</v>
      </c>
      <c r="P43" s="45">
        <f t="shared" si="20"/>
        <v>510.99516000000006</v>
      </c>
      <c r="Q43" s="45">
        <f t="shared" si="21"/>
        <v>583.23564</v>
      </c>
      <c r="R43" s="45">
        <f t="shared" si="22"/>
        <v>696.37698</v>
      </c>
    </row>
    <row r="44" spans="1:18" ht="12.75">
      <c r="A44" s="50">
        <v>2000</v>
      </c>
      <c r="B44" s="51">
        <v>2.62</v>
      </c>
      <c r="C44" s="51">
        <v>3.09</v>
      </c>
      <c r="D44" s="51">
        <v>3.56</v>
      </c>
      <c r="E44" s="51">
        <v>4.04</v>
      </c>
      <c r="F44" s="51">
        <v>4.5</v>
      </c>
      <c r="G44" s="48">
        <f t="shared" si="23"/>
        <v>41</v>
      </c>
      <c r="H44" s="45">
        <f t="shared" si="12"/>
        <v>33.012</v>
      </c>
      <c r="I44" s="45">
        <f t="shared" si="13"/>
        <v>85.28399999999999</v>
      </c>
      <c r="J44" s="45">
        <f t="shared" si="14"/>
        <v>160.2</v>
      </c>
      <c r="K44" s="45">
        <f t="shared" si="15"/>
        <v>182.4144</v>
      </c>
      <c r="L44" s="45">
        <f t="shared" si="16"/>
        <v>233.6736</v>
      </c>
      <c r="M44" s="45">
        <f t="shared" si="17"/>
        <v>258.3984</v>
      </c>
      <c r="N44" s="45">
        <f t="shared" si="18"/>
        <v>310.272</v>
      </c>
      <c r="O44" s="45">
        <f t="shared" si="19"/>
        <v>428.76</v>
      </c>
      <c r="P44" s="45">
        <f t="shared" si="20"/>
        <v>519.48</v>
      </c>
      <c r="Q44" s="45">
        <f t="shared" si="21"/>
        <v>592.92</v>
      </c>
      <c r="R44" s="45">
        <f t="shared" si="22"/>
        <v>707.94</v>
      </c>
    </row>
    <row r="45" spans="1:18" ht="12.75">
      <c r="A45" s="50">
        <v>2100</v>
      </c>
      <c r="B45" s="51">
        <v>2.6</v>
      </c>
      <c r="C45" s="51">
        <v>3.04</v>
      </c>
      <c r="D45" s="51">
        <v>3.5</v>
      </c>
      <c r="E45" s="51">
        <v>3.97</v>
      </c>
      <c r="F45" s="51">
        <v>4.43</v>
      </c>
      <c r="G45" s="48">
        <f t="shared" si="23"/>
        <v>42</v>
      </c>
      <c r="H45" s="45">
        <f t="shared" si="12"/>
        <v>34.398</v>
      </c>
      <c r="I45" s="45">
        <f t="shared" si="13"/>
        <v>88.0992</v>
      </c>
      <c r="J45" s="45">
        <f t="shared" si="14"/>
        <v>165.375</v>
      </c>
      <c r="K45" s="45">
        <f t="shared" si="15"/>
        <v>188.30700000000002</v>
      </c>
      <c r="L45" s="45">
        <f t="shared" si="16"/>
        <v>241.10604</v>
      </c>
      <c r="M45" s="45">
        <f t="shared" si="17"/>
        <v>266.61726</v>
      </c>
      <c r="N45" s="45">
        <f t="shared" si="18"/>
        <v>320.1408</v>
      </c>
      <c r="O45" s="45">
        <f t="shared" si="19"/>
        <v>443.19491999999997</v>
      </c>
      <c r="P45" s="45">
        <f t="shared" si="20"/>
        <v>536.9691600000001</v>
      </c>
      <c r="Q45" s="45">
        <f t="shared" si="21"/>
        <v>612.8816400000001</v>
      </c>
      <c r="R45" s="45">
        <f t="shared" si="22"/>
        <v>731.77398</v>
      </c>
    </row>
    <row r="46" spans="1:18" ht="12.75">
      <c r="A46" s="50">
        <v>2200</v>
      </c>
      <c r="B46" s="51">
        <v>2.54</v>
      </c>
      <c r="C46" s="51">
        <v>2.99</v>
      </c>
      <c r="D46" s="51">
        <v>3.44</v>
      </c>
      <c r="E46" s="51">
        <v>3.91</v>
      </c>
      <c r="F46" s="51">
        <v>4.35</v>
      </c>
      <c r="G46" s="48">
        <f t="shared" si="23"/>
        <v>43</v>
      </c>
      <c r="H46" s="45">
        <f t="shared" si="12"/>
        <v>35.2044</v>
      </c>
      <c r="I46" s="45">
        <f t="shared" si="13"/>
        <v>90.77640000000001</v>
      </c>
      <c r="J46" s="45">
        <f t="shared" si="14"/>
        <v>170.28</v>
      </c>
      <c r="K46" s="45">
        <f t="shared" si="15"/>
        <v>193.89216</v>
      </c>
      <c r="L46" s="45">
        <f t="shared" si="16"/>
        <v>248.76984000000002</v>
      </c>
      <c r="M46" s="45">
        <f t="shared" si="17"/>
        <v>275.09196</v>
      </c>
      <c r="N46" s="45">
        <f t="shared" si="18"/>
        <v>330.3168</v>
      </c>
      <c r="O46" s="45">
        <f t="shared" si="19"/>
        <v>455.9148</v>
      </c>
      <c r="P46" s="45">
        <f t="shared" si="20"/>
        <v>552.3804</v>
      </c>
      <c r="Q46" s="45">
        <f t="shared" si="21"/>
        <v>630.4716000000001</v>
      </c>
      <c r="R46" s="45">
        <f t="shared" si="22"/>
        <v>752.7761999999999</v>
      </c>
    </row>
    <row r="47" spans="1:18" ht="12.75">
      <c r="A47" s="50">
        <v>2300</v>
      </c>
      <c r="B47" s="51">
        <v>2.5</v>
      </c>
      <c r="C47" s="51">
        <v>2.94</v>
      </c>
      <c r="D47" s="51">
        <v>3.38</v>
      </c>
      <c r="E47" s="51">
        <v>3.84</v>
      </c>
      <c r="F47" s="51">
        <v>4.28</v>
      </c>
      <c r="G47" s="48">
        <f t="shared" si="23"/>
        <v>44</v>
      </c>
      <c r="H47" s="45">
        <f t="shared" si="12"/>
        <v>36.225</v>
      </c>
      <c r="I47" s="45">
        <f t="shared" si="13"/>
        <v>93.31559999999999</v>
      </c>
      <c r="J47" s="45">
        <f t="shared" si="14"/>
        <v>174.915</v>
      </c>
      <c r="K47" s="45">
        <f t="shared" si="15"/>
        <v>199.16988</v>
      </c>
      <c r="L47" s="45">
        <f t="shared" si="16"/>
        <v>255.42144</v>
      </c>
      <c r="M47" s="45">
        <f t="shared" si="17"/>
        <v>282.44736</v>
      </c>
      <c r="N47" s="45">
        <f t="shared" si="18"/>
        <v>339.1488</v>
      </c>
      <c r="O47" s="45">
        <f t="shared" si="19"/>
        <v>468.96816</v>
      </c>
      <c r="P47" s="45">
        <f t="shared" si="20"/>
        <v>568.19568</v>
      </c>
      <c r="Q47" s="45">
        <f t="shared" si="21"/>
        <v>648.52272</v>
      </c>
      <c r="R47" s="45">
        <f t="shared" si="22"/>
        <v>774.32904</v>
      </c>
    </row>
    <row r="48" spans="1:18" ht="12.75">
      <c r="A48" s="50">
        <v>2400</v>
      </c>
      <c r="B48" s="51">
        <v>2.46</v>
      </c>
      <c r="C48" s="51">
        <v>2.89</v>
      </c>
      <c r="D48" s="51">
        <v>3.32</v>
      </c>
      <c r="E48" s="51">
        <v>3.77</v>
      </c>
      <c r="F48" s="51">
        <v>4.2</v>
      </c>
      <c r="G48" s="48">
        <f t="shared" si="23"/>
        <v>45</v>
      </c>
      <c r="H48" s="45">
        <f t="shared" si="12"/>
        <v>37.1952</v>
      </c>
      <c r="I48" s="45">
        <f t="shared" si="13"/>
        <v>95.7168</v>
      </c>
      <c r="J48" s="45">
        <f t="shared" si="14"/>
        <v>179.28</v>
      </c>
      <c r="K48" s="45">
        <f t="shared" si="15"/>
        <v>204.14016</v>
      </c>
      <c r="L48" s="45">
        <f t="shared" si="16"/>
        <v>261.66816</v>
      </c>
      <c r="M48" s="45">
        <f t="shared" si="17"/>
        <v>289.35504000000003</v>
      </c>
      <c r="N48" s="45">
        <f t="shared" si="18"/>
        <v>347.4432</v>
      </c>
      <c r="O48" s="45">
        <f t="shared" si="19"/>
        <v>480.2112</v>
      </c>
      <c r="P48" s="45">
        <f t="shared" si="20"/>
        <v>581.8176</v>
      </c>
      <c r="Q48" s="45">
        <f t="shared" si="21"/>
        <v>664.0704000000001</v>
      </c>
      <c r="R48" s="45">
        <f t="shared" si="22"/>
        <v>792.8928</v>
      </c>
    </row>
    <row r="49" spans="1:18" ht="12.75">
      <c r="A49" s="50">
        <v>2500</v>
      </c>
      <c r="B49" s="51">
        <v>2.42</v>
      </c>
      <c r="C49" s="51">
        <v>2.84</v>
      </c>
      <c r="D49" s="51">
        <v>3.27</v>
      </c>
      <c r="E49" s="51">
        <v>3.7</v>
      </c>
      <c r="F49" s="51">
        <v>4.12</v>
      </c>
      <c r="G49" s="48">
        <f t="shared" si="23"/>
        <v>46</v>
      </c>
      <c r="H49" s="45">
        <f t="shared" si="12"/>
        <v>38.115</v>
      </c>
      <c r="I49" s="45">
        <f t="shared" si="13"/>
        <v>97.98</v>
      </c>
      <c r="J49" s="45">
        <f t="shared" si="14"/>
        <v>183.9375</v>
      </c>
      <c r="K49" s="45">
        <f t="shared" si="15"/>
        <v>209.44350000000003</v>
      </c>
      <c r="L49" s="45">
        <f t="shared" si="16"/>
        <v>267.51</v>
      </c>
      <c r="M49" s="45">
        <f t="shared" si="17"/>
        <v>295.815</v>
      </c>
      <c r="N49" s="45">
        <f t="shared" si="18"/>
        <v>355.2</v>
      </c>
      <c r="O49" s="45">
        <f t="shared" si="19"/>
        <v>490.69200000000006</v>
      </c>
      <c r="P49" s="45">
        <f t="shared" si="20"/>
        <v>594.516</v>
      </c>
      <c r="Q49" s="45">
        <f t="shared" si="21"/>
        <v>678.564</v>
      </c>
      <c r="R49" s="45">
        <f t="shared" si="22"/>
        <v>810.198</v>
      </c>
    </row>
    <row r="50" spans="1:18" ht="12.75" hidden="1">
      <c r="A50" s="52">
        <v>2750</v>
      </c>
      <c r="B50" s="53">
        <f>B49+($A50-$A49)*(B55-B49)/($A55-$A49)</f>
        <v>2.375</v>
      </c>
      <c r="C50" s="53">
        <f>C49+($A50-$A49)*(C55-C49)/($A55-$A49)</f>
        <v>2.79</v>
      </c>
      <c r="D50" s="53">
        <f>D49+($A50-$A49)*(D55-D49)/($A55-$A49)</f>
        <v>3.205</v>
      </c>
      <c r="E50" s="53">
        <f>E49+($A50-$A49)*(E55-E49)/($A55-$A49)</f>
        <v>3.625</v>
      </c>
      <c r="F50" s="53">
        <f>F49+($A50-$A49)*(F55-F49)/($A55-$A49)</f>
        <v>4.035</v>
      </c>
      <c r="G50" s="48">
        <f t="shared" si="23"/>
        <v>47</v>
      </c>
      <c r="H50" s="45">
        <f t="shared" si="12"/>
        <v>41.146875</v>
      </c>
      <c r="I50" s="45">
        <f t="shared" si="13"/>
        <v>105.88050000000001</v>
      </c>
      <c r="J50" s="45">
        <f t="shared" si="14"/>
        <v>198.309375</v>
      </c>
      <c r="K50" s="45">
        <f t="shared" si="15"/>
        <v>225.80827499999998</v>
      </c>
      <c r="L50" s="45">
        <f t="shared" si="16"/>
        <v>288.29625</v>
      </c>
      <c r="M50" s="45">
        <f t="shared" si="17"/>
        <v>318.800625</v>
      </c>
      <c r="N50" s="45">
        <f t="shared" si="18"/>
        <v>382.8</v>
      </c>
      <c r="O50" s="45">
        <f t="shared" si="19"/>
        <v>528.62535</v>
      </c>
      <c r="P50" s="45">
        <f t="shared" si="20"/>
        <v>640.47555</v>
      </c>
      <c r="Q50" s="45">
        <f t="shared" si="21"/>
        <v>731.02095</v>
      </c>
      <c r="R50" s="45">
        <f t="shared" si="22"/>
        <v>872.8310250000001</v>
      </c>
    </row>
    <row r="51" spans="1:18" s="49" customFormat="1" ht="12.75">
      <c r="A51" s="45">
        <v>2600</v>
      </c>
      <c r="B51" s="46">
        <v>2.4</v>
      </c>
      <c r="C51" s="46">
        <v>2.82</v>
      </c>
      <c r="D51" s="46">
        <v>3.25</v>
      </c>
      <c r="E51" s="46">
        <v>3.67</v>
      </c>
      <c r="F51" s="46">
        <v>4.09</v>
      </c>
      <c r="G51" s="48">
        <f t="shared" si="23"/>
        <v>48</v>
      </c>
      <c r="H51" s="45">
        <f t="shared" si="12"/>
        <v>39.312000000000005</v>
      </c>
      <c r="I51" s="45">
        <f t="shared" si="13"/>
        <v>101.1816</v>
      </c>
      <c r="J51" s="45">
        <f t="shared" si="14"/>
        <v>190.125</v>
      </c>
      <c r="K51" s="45">
        <f t="shared" si="15"/>
        <v>216.489</v>
      </c>
      <c r="L51" s="45">
        <f t="shared" si="16"/>
        <v>275.95464</v>
      </c>
      <c r="M51" s="45">
        <f t="shared" si="17"/>
        <v>305.15316</v>
      </c>
      <c r="N51" s="45">
        <f t="shared" si="18"/>
        <v>366.4128</v>
      </c>
      <c r="O51" s="45">
        <f t="shared" si="19"/>
        <v>506.60376</v>
      </c>
      <c r="P51" s="45">
        <f t="shared" si="20"/>
        <v>613.79448</v>
      </c>
      <c r="Q51" s="45">
        <f t="shared" si="21"/>
        <v>700.56792</v>
      </c>
      <c r="R51" s="45">
        <f t="shared" si="22"/>
        <v>836.47044</v>
      </c>
    </row>
    <row r="52" spans="1:18" s="49" customFormat="1" ht="12.75">
      <c r="A52" s="45">
        <v>2700</v>
      </c>
      <c r="B52" s="46">
        <v>2.38</v>
      </c>
      <c r="C52" s="46">
        <v>2.8</v>
      </c>
      <c r="D52" s="46">
        <v>3.22</v>
      </c>
      <c r="E52" s="46">
        <v>3.64</v>
      </c>
      <c r="F52" s="46">
        <v>4.05</v>
      </c>
      <c r="G52" s="48">
        <f t="shared" si="23"/>
        <v>49</v>
      </c>
      <c r="H52" s="45">
        <f t="shared" si="12"/>
        <v>40.4838</v>
      </c>
      <c r="I52" s="45">
        <f t="shared" si="13"/>
        <v>104.32799999999999</v>
      </c>
      <c r="J52" s="45">
        <f t="shared" si="14"/>
        <v>195.615</v>
      </c>
      <c r="K52" s="45">
        <f t="shared" si="15"/>
        <v>222.74028</v>
      </c>
      <c r="L52" s="45">
        <f t="shared" si="16"/>
        <v>284.22576000000004</v>
      </c>
      <c r="M52" s="45">
        <f t="shared" si="17"/>
        <v>314.29944</v>
      </c>
      <c r="N52" s="45">
        <f t="shared" si="18"/>
        <v>377.39520000000005</v>
      </c>
      <c r="O52" s="45">
        <f t="shared" si="19"/>
        <v>520.9434</v>
      </c>
      <c r="P52" s="45">
        <f t="shared" si="20"/>
        <v>631.1682</v>
      </c>
      <c r="Q52" s="45">
        <f t="shared" si="21"/>
        <v>720.3978</v>
      </c>
      <c r="R52" s="45">
        <f t="shared" si="22"/>
        <v>860.1471</v>
      </c>
    </row>
    <row r="53" spans="1:18" s="49" customFormat="1" ht="12.75">
      <c r="A53" s="45">
        <v>2800</v>
      </c>
      <c r="B53" s="46">
        <v>2.37</v>
      </c>
      <c r="C53" s="46">
        <v>2.78</v>
      </c>
      <c r="D53" s="46">
        <v>3.2</v>
      </c>
      <c r="E53" s="46">
        <v>3.61</v>
      </c>
      <c r="F53" s="46">
        <v>4.02</v>
      </c>
      <c r="G53" s="48">
        <f t="shared" si="23"/>
        <v>50</v>
      </c>
      <c r="H53" s="45">
        <f t="shared" si="12"/>
        <v>41.8068</v>
      </c>
      <c r="I53" s="45">
        <f t="shared" si="13"/>
        <v>107.41919999999999</v>
      </c>
      <c r="J53" s="45">
        <f t="shared" si="14"/>
        <v>201.6</v>
      </c>
      <c r="K53" s="45">
        <f t="shared" si="15"/>
        <v>229.5552</v>
      </c>
      <c r="L53" s="45">
        <f t="shared" si="16"/>
        <v>292.32336</v>
      </c>
      <c r="M53" s="45">
        <f t="shared" si="17"/>
        <v>323.25384</v>
      </c>
      <c r="N53" s="45">
        <f t="shared" si="18"/>
        <v>388.1472</v>
      </c>
      <c r="O53" s="45">
        <f t="shared" si="19"/>
        <v>536.2358399999998</v>
      </c>
      <c r="P53" s="45">
        <f t="shared" si="20"/>
        <v>649.6963199999999</v>
      </c>
      <c r="Q53" s="45">
        <f t="shared" si="21"/>
        <v>741.5452799999999</v>
      </c>
      <c r="R53" s="45">
        <f t="shared" si="22"/>
        <v>885.3969599999999</v>
      </c>
    </row>
    <row r="54" spans="1:18" s="49" customFormat="1" ht="12.75">
      <c r="A54" s="45">
        <v>2900</v>
      </c>
      <c r="B54" s="46">
        <v>2.35</v>
      </c>
      <c r="C54" s="46">
        <v>2.76</v>
      </c>
      <c r="D54" s="46">
        <v>3.17</v>
      </c>
      <c r="E54" s="46">
        <v>3.58</v>
      </c>
      <c r="F54" s="46">
        <v>3.98</v>
      </c>
      <c r="G54" s="48">
        <f t="shared" si="23"/>
        <v>51</v>
      </c>
      <c r="H54" s="45">
        <f t="shared" si="12"/>
        <v>42.9345</v>
      </c>
      <c r="I54" s="45">
        <f t="shared" si="13"/>
        <v>110.45519999999999</v>
      </c>
      <c r="J54" s="45">
        <f t="shared" si="14"/>
        <v>206.8425</v>
      </c>
      <c r="K54" s="45">
        <f t="shared" si="15"/>
        <v>235.52466</v>
      </c>
      <c r="L54" s="45">
        <f t="shared" si="16"/>
        <v>300.24744000000004</v>
      </c>
      <c r="M54" s="45">
        <f t="shared" si="17"/>
        <v>332.01635999999996</v>
      </c>
      <c r="N54" s="45">
        <f t="shared" si="18"/>
        <v>398.6688</v>
      </c>
      <c r="O54" s="45">
        <f t="shared" si="19"/>
        <v>549.8608800000001</v>
      </c>
      <c r="P54" s="45">
        <f t="shared" si="20"/>
        <v>666.20424</v>
      </c>
      <c r="Q54" s="45">
        <f t="shared" si="21"/>
        <v>760.3869599999999</v>
      </c>
      <c r="R54" s="45">
        <f t="shared" si="22"/>
        <v>907.89372</v>
      </c>
    </row>
    <row r="55" spans="1:18" ht="12.75">
      <c r="A55" s="50">
        <v>3000</v>
      </c>
      <c r="B55" s="51">
        <v>2.33</v>
      </c>
      <c r="C55" s="51">
        <v>2.74</v>
      </c>
      <c r="D55" s="51">
        <v>3.14</v>
      </c>
      <c r="E55" s="51">
        <v>3.55</v>
      </c>
      <c r="F55" s="51">
        <v>3.95</v>
      </c>
      <c r="G55" s="48">
        <f t="shared" si="23"/>
        <v>52</v>
      </c>
      <c r="H55" s="45">
        <f t="shared" si="12"/>
        <v>44.037</v>
      </c>
      <c r="I55" s="45">
        <f t="shared" si="13"/>
        <v>113.436</v>
      </c>
      <c r="J55" s="45">
        <f t="shared" si="14"/>
        <v>211.95</v>
      </c>
      <c r="K55" s="45">
        <f t="shared" si="15"/>
        <v>241.34040000000002</v>
      </c>
      <c r="L55" s="45">
        <f t="shared" si="16"/>
        <v>307.998</v>
      </c>
      <c r="M55" s="45">
        <f t="shared" si="17"/>
        <v>340.587</v>
      </c>
      <c r="N55" s="45">
        <f t="shared" si="18"/>
        <v>408.96</v>
      </c>
      <c r="O55" s="45">
        <f t="shared" si="19"/>
        <v>564.534</v>
      </c>
      <c r="P55" s="45">
        <f t="shared" si="20"/>
        <v>683.982</v>
      </c>
      <c r="Q55" s="45">
        <f t="shared" si="21"/>
        <v>780.678</v>
      </c>
      <c r="R55" s="45">
        <f t="shared" si="22"/>
        <v>932.1210000000001</v>
      </c>
    </row>
    <row r="56" spans="1:18" ht="12.75">
      <c r="A56" s="50">
        <v>3100</v>
      </c>
      <c r="B56" s="51">
        <v>2.32</v>
      </c>
      <c r="C56" s="51">
        <v>2.72</v>
      </c>
      <c r="D56" s="51">
        <v>3.12</v>
      </c>
      <c r="E56" s="51">
        <v>3.52</v>
      </c>
      <c r="F56" s="51">
        <v>3.91</v>
      </c>
      <c r="G56" s="48">
        <f t="shared" si="23"/>
        <v>53</v>
      </c>
      <c r="H56" s="45">
        <f t="shared" si="12"/>
        <v>45.30959999999999</v>
      </c>
      <c r="I56" s="45">
        <f t="shared" si="13"/>
        <v>116.3616</v>
      </c>
      <c r="J56" s="45">
        <f t="shared" si="14"/>
        <v>217.62</v>
      </c>
      <c r="K56" s="45">
        <f t="shared" si="15"/>
        <v>247.79664</v>
      </c>
      <c r="L56" s="45">
        <f t="shared" si="16"/>
        <v>315.57504</v>
      </c>
      <c r="M56" s="45">
        <f t="shared" si="17"/>
        <v>348.96576</v>
      </c>
      <c r="N56" s="45">
        <f t="shared" si="18"/>
        <v>419.0208</v>
      </c>
      <c r="O56" s="45">
        <f t="shared" si="19"/>
        <v>577.44444</v>
      </c>
      <c r="P56" s="45">
        <f t="shared" si="20"/>
        <v>699.62412</v>
      </c>
      <c r="Q56" s="45">
        <f t="shared" si="21"/>
        <v>798.53148</v>
      </c>
      <c r="R56" s="45">
        <f t="shared" si="22"/>
        <v>953.4378600000001</v>
      </c>
    </row>
    <row r="57" spans="1:18" ht="12.75">
      <c r="A57" s="50">
        <v>3200</v>
      </c>
      <c r="B57" s="51">
        <v>2.3</v>
      </c>
      <c r="C57" s="51">
        <v>2.7</v>
      </c>
      <c r="D57" s="51">
        <v>3.09</v>
      </c>
      <c r="E57" s="51">
        <v>3.49</v>
      </c>
      <c r="F57" s="51">
        <v>3.88</v>
      </c>
      <c r="G57" s="48">
        <f t="shared" si="23"/>
        <v>54</v>
      </c>
      <c r="H57" s="45">
        <f t="shared" si="12"/>
        <v>46.367999999999995</v>
      </c>
      <c r="I57" s="45">
        <f t="shared" si="13"/>
        <v>119.23200000000001</v>
      </c>
      <c r="J57" s="45">
        <f t="shared" si="14"/>
        <v>222.48</v>
      </c>
      <c r="K57" s="45">
        <f t="shared" si="15"/>
        <v>253.33056</v>
      </c>
      <c r="L57" s="45">
        <f t="shared" si="16"/>
        <v>322.97856</v>
      </c>
      <c r="M57" s="45">
        <f t="shared" si="17"/>
        <v>357.15264</v>
      </c>
      <c r="N57" s="45">
        <f t="shared" si="18"/>
        <v>428.8512</v>
      </c>
      <c r="O57" s="45">
        <f t="shared" si="19"/>
        <v>591.49824</v>
      </c>
      <c r="P57" s="45">
        <f t="shared" si="20"/>
        <v>716.65152</v>
      </c>
      <c r="Q57" s="45">
        <f t="shared" si="21"/>
        <v>817.96608</v>
      </c>
      <c r="R57" s="45">
        <f t="shared" si="22"/>
        <v>976.6425600000001</v>
      </c>
    </row>
    <row r="58" spans="1:18" ht="12.75">
      <c r="A58" s="50">
        <v>3300</v>
      </c>
      <c r="B58" s="51">
        <v>2.28</v>
      </c>
      <c r="C58" s="51">
        <v>2.68</v>
      </c>
      <c r="D58" s="51">
        <v>3.07</v>
      </c>
      <c r="E58" s="51">
        <v>3.46</v>
      </c>
      <c r="F58" s="51">
        <v>3.84</v>
      </c>
      <c r="G58" s="48">
        <f t="shared" si="23"/>
        <v>55</v>
      </c>
      <c r="H58" s="45">
        <f t="shared" si="12"/>
        <v>47.40119999999999</v>
      </c>
      <c r="I58" s="45">
        <f t="shared" si="13"/>
        <v>122.04719999999999</v>
      </c>
      <c r="J58" s="45">
        <f t="shared" si="14"/>
        <v>227.9475</v>
      </c>
      <c r="K58" s="45">
        <f t="shared" si="15"/>
        <v>259.55622</v>
      </c>
      <c r="L58" s="45">
        <f t="shared" si="16"/>
        <v>330.20856</v>
      </c>
      <c r="M58" s="45">
        <f t="shared" si="17"/>
        <v>365.14764</v>
      </c>
      <c r="N58" s="45">
        <f t="shared" si="18"/>
        <v>438.45120000000003</v>
      </c>
      <c r="O58" s="45">
        <f t="shared" si="19"/>
        <v>603.69408</v>
      </c>
      <c r="P58" s="45">
        <f t="shared" si="20"/>
        <v>731.42784</v>
      </c>
      <c r="Q58" s="45">
        <f t="shared" si="21"/>
        <v>834.83136</v>
      </c>
      <c r="R58" s="45">
        <f t="shared" si="22"/>
        <v>996.77952</v>
      </c>
    </row>
    <row r="59" spans="1:18" ht="12.75">
      <c r="A59" s="50">
        <v>3400</v>
      </c>
      <c r="B59" s="51">
        <v>2.26</v>
      </c>
      <c r="C59" s="51">
        <v>2.66</v>
      </c>
      <c r="D59" s="51">
        <v>3.04</v>
      </c>
      <c r="E59" s="51">
        <v>3.43</v>
      </c>
      <c r="F59" s="51">
        <v>3.81</v>
      </c>
      <c r="G59" s="48">
        <f t="shared" si="23"/>
        <v>56</v>
      </c>
      <c r="H59" s="45">
        <f t="shared" si="12"/>
        <v>48.40919999999999</v>
      </c>
      <c r="I59" s="45">
        <f t="shared" si="13"/>
        <v>124.80720000000001</v>
      </c>
      <c r="J59" s="45">
        <f t="shared" si="14"/>
        <v>232.56</v>
      </c>
      <c r="K59" s="45">
        <f t="shared" si="15"/>
        <v>264.80832000000004</v>
      </c>
      <c r="L59" s="45">
        <f t="shared" si="16"/>
        <v>337.26504</v>
      </c>
      <c r="M59" s="45">
        <f t="shared" si="17"/>
        <v>372.95076</v>
      </c>
      <c r="N59" s="45">
        <f t="shared" si="18"/>
        <v>447.8208</v>
      </c>
      <c r="O59" s="45">
        <f t="shared" si="19"/>
        <v>617.12856</v>
      </c>
      <c r="P59" s="45">
        <f t="shared" si="20"/>
        <v>747.70488</v>
      </c>
      <c r="Q59" s="45">
        <f t="shared" si="21"/>
        <v>853.40952</v>
      </c>
      <c r="R59" s="45">
        <f t="shared" si="22"/>
        <v>1018.96164</v>
      </c>
    </row>
    <row r="60" spans="1:18" ht="12.75">
      <c r="A60" s="50">
        <v>3500</v>
      </c>
      <c r="B60" s="51">
        <v>2.25</v>
      </c>
      <c r="C60" s="51">
        <v>2.63</v>
      </c>
      <c r="D60" s="51">
        <v>3.01</v>
      </c>
      <c r="E60" s="51">
        <v>3.4</v>
      </c>
      <c r="F60" s="51">
        <v>3.77</v>
      </c>
      <c r="G60" s="48">
        <f t="shared" si="23"/>
        <v>57</v>
      </c>
      <c r="H60" s="45">
        <f t="shared" si="12"/>
        <v>49.6125</v>
      </c>
      <c r="I60" s="45">
        <f t="shared" si="13"/>
        <v>127.029</v>
      </c>
      <c r="J60" s="45">
        <f t="shared" si="14"/>
        <v>237.0375</v>
      </c>
      <c r="K60" s="45">
        <f t="shared" si="15"/>
        <v>269.9067</v>
      </c>
      <c r="L60" s="45">
        <f t="shared" si="16"/>
        <v>344.148</v>
      </c>
      <c r="M60" s="45">
        <f t="shared" si="17"/>
        <v>380.56200000000007</v>
      </c>
      <c r="N60" s="45">
        <f t="shared" si="18"/>
        <v>456.96</v>
      </c>
      <c r="O60" s="45">
        <f t="shared" si="19"/>
        <v>628.6098000000001</v>
      </c>
      <c r="P60" s="45">
        <f t="shared" si="20"/>
        <v>761.6154000000001</v>
      </c>
      <c r="Q60" s="45">
        <f t="shared" si="21"/>
        <v>869.2866</v>
      </c>
      <c r="R60" s="45">
        <f t="shared" si="22"/>
        <v>1037.9187</v>
      </c>
    </row>
    <row r="61" spans="1:18" ht="12.75">
      <c r="A61" s="50">
        <v>3600</v>
      </c>
      <c r="B61" s="51">
        <v>2.23</v>
      </c>
      <c r="C61" s="51">
        <v>2.61</v>
      </c>
      <c r="D61" s="51">
        <v>2.99</v>
      </c>
      <c r="E61" s="51">
        <v>3.37</v>
      </c>
      <c r="F61" s="51">
        <v>3.74</v>
      </c>
      <c r="G61" s="48">
        <f t="shared" si="23"/>
        <v>58</v>
      </c>
      <c r="H61" s="45">
        <f t="shared" si="12"/>
        <v>50.57640000000001</v>
      </c>
      <c r="I61" s="45">
        <f t="shared" si="13"/>
        <v>129.66479999999999</v>
      </c>
      <c r="J61" s="45">
        <f t="shared" si="14"/>
        <v>242.19</v>
      </c>
      <c r="K61" s="45">
        <f t="shared" si="15"/>
        <v>275.77368</v>
      </c>
      <c r="L61" s="45">
        <f t="shared" si="16"/>
        <v>350.85744</v>
      </c>
      <c r="M61" s="45">
        <f t="shared" si="17"/>
        <v>387.98136</v>
      </c>
      <c r="N61" s="45">
        <f t="shared" si="18"/>
        <v>465.86879999999996</v>
      </c>
      <c r="O61" s="45">
        <f t="shared" si="19"/>
        <v>641.4249599999999</v>
      </c>
      <c r="P61" s="45">
        <f t="shared" si="20"/>
        <v>777.14208</v>
      </c>
      <c r="Q61" s="45">
        <f t="shared" si="21"/>
        <v>887.0083199999999</v>
      </c>
      <c r="R61" s="45">
        <f t="shared" si="22"/>
        <v>1059.07824</v>
      </c>
    </row>
    <row r="62" spans="1:18" ht="12.75">
      <c r="A62" s="50">
        <v>3700</v>
      </c>
      <c r="B62" s="51">
        <v>2.21</v>
      </c>
      <c r="C62" s="51">
        <v>2.59</v>
      </c>
      <c r="D62" s="51">
        <v>2.96</v>
      </c>
      <c r="E62" s="51">
        <v>3.34</v>
      </c>
      <c r="F62" s="51">
        <v>3.7</v>
      </c>
      <c r="G62" s="48">
        <f t="shared" si="23"/>
        <v>59</v>
      </c>
      <c r="H62" s="45">
        <f t="shared" si="12"/>
        <v>51.515100000000004</v>
      </c>
      <c r="I62" s="45">
        <f t="shared" si="13"/>
        <v>132.24540000000002</v>
      </c>
      <c r="J62" s="45">
        <f t="shared" si="14"/>
        <v>246.42</v>
      </c>
      <c r="K62" s="45">
        <f t="shared" si="15"/>
        <v>280.59024</v>
      </c>
      <c r="L62" s="45">
        <f t="shared" si="16"/>
        <v>357.39336000000003</v>
      </c>
      <c r="M62" s="45">
        <f t="shared" si="17"/>
        <v>395.20884</v>
      </c>
      <c r="N62" s="45">
        <f t="shared" si="18"/>
        <v>474.54720000000003</v>
      </c>
      <c r="O62" s="45">
        <f t="shared" si="19"/>
        <v>652.1916</v>
      </c>
      <c r="P62" s="45">
        <f t="shared" si="20"/>
        <v>790.1868000000001</v>
      </c>
      <c r="Q62" s="45">
        <f t="shared" si="21"/>
        <v>901.8972</v>
      </c>
      <c r="R62" s="45">
        <f t="shared" si="22"/>
        <v>1076.8554000000001</v>
      </c>
    </row>
    <row r="63" spans="1:18" ht="12.75">
      <c r="A63" s="50">
        <v>3800</v>
      </c>
      <c r="B63" s="51">
        <v>2.2</v>
      </c>
      <c r="C63" s="51">
        <v>2.57</v>
      </c>
      <c r="D63" s="51">
        <v>2.94</v>
      </c>
      <c r="E63" s="51">
        <v>3.3</v>
      </c>
      <c r="F63" s="51">
        <v>3.67</v>
      </c>
      <c r="G63" s="48">
        <f t="shared" si="23"/>
        <v>60</v>
      </c>
      <c r="H63" s="45">
        <f t="shared" si="12"/>
        <v>52.668</v>
      </c>
      <c r="I63" s="45">
        <f t="shared" si="13"/>
        <v>134.7708</v>
      </c>
      <c r="J63" s="45">
        <f t="shared" si="14"/>
        <v>251.37</v>
      </c>
      <c r="K63" s="45">
        <f t="shared" si="15"/>
        <v>286.22664000000003</v>
      </c>
      <c r="L63" s="45">
        <f t="shared" si="16"/>
        <v>362.6568</v>
      </c>
      <c r="M63" s="45">
        <f t="shared" si="17"/>
        <v>401.0292</v>
      </c>
      <c r="N63" s="45">
        <f t="shared" si="18"/>
        <v>481.536</v>
      </c>
      <c r="O63" s="45">
        <f t="shared" si="19"/>
        <v>664.3874400000001</v>
      </c>
      <c r="P63" s="45">
        <f t="shared" si="20"/>
        <v>804.96312</v>
      </c>
      <c r="Q63" s="45">
        <f t="shared" si="21"/>
        <v>918.7624800000001</v>
      </c>
      <c r="R63" s="45">
        <f t="shared" si="22"/>
        <v>1096.99236</v>
      </c>
    </row>
    <row r="64" spans="1:18" ht="12.75">
      <c r="A64" s="50">
        <v>3900</v>
      </c>
      <c r="B64" s="51">
        <v>2.18</v>
      </c>
      <c r="C64" s="51">
        <v>2.55</v>
      </c>
      <c r="D64" s="51">
        <v>2.91</v>
      </c>
      <c r="E64" s="51">
        <v>3.27</v>
      </c>
      <c r="F64" s="51">
        <v>3.63</v>
      </c>
      <c r="G64" s="48">
        <f t="shared" si="23"/>
        <v>61</v>
      </c>
      <c r="H64" s="45">
        <f t="shared" si="12"/>
        <v>53.5626</v>
      </c>
      <c r="I64" s="45">
        <f t="shared" si="13"/>
        <v>137.241</v>
      </c>
      <c r="J64" s="45">
        <f t="shared" si="14"/>
        <v>255.3525</v>
      </c>
      <c r="K64" s="45">
        <f t="shared" si="15"/>
        <v>290.76138</v>
      </c>
      <c r="L64" s="45">
        <f t="shared" si="16"/>
        <v>368.81676</v>
      </c>
      <c r="M64" s="45">
        <f t="shared" si="17"/>
        <v>407.84094</v>
      </c>
      <c r="N64" s="45">
        <f t="shared" si="18"/>
        <v>489.71520000000004</v>
      </c>
      <c r="O64" s="45">
        <f t="shared" si="19"/>
        <v>674.43948</v>
      </c>
      <c r="P64" s="45">
        <f t="shared" si="20"/>
        <v>817.14204</v>
      </c>
      <c r="Q64" s="45">
        <f t="shared" si="21"/>
        <v>932.6631600000001</v>
      </c>
      <c r="R64" s="45">
        <f t="shared" si="22"/>
        <v>1113.58962</v>
      </c>
    </row>
    <row r="65" spans="1:18" ht="12.75">
      <c r="A65" s="50">
        <v>4000</v>
      </c>
      <c r="B65" s="51">
        <v>2.16</v>
      </c>
      <c r="C65" s="51">
        <v>2.53</v>
      </c>
      <c r="D65" s="51">
        <v>2.88</v>
      </c>
      <c r="E65" s="51">
        <v>3.24</v>
      </c>
      <c r="F65" s="51">
        <v>3.6</v>
      </c>
      <c r="G65" s="48">
        <f t="shared" si="23"/>
        <v>62</v>
      </c>
      <c r="H65" s="45">
        <f t="shared" si="12"/>
        <v>54.431999999999995</v>
      </c>
      <c r="I65" s="45">
        <f t="shared" si="13"/>
        <v>139.656</v>
      </c>
      <c r="J65" s="45">
        <f t="shared" si="14"/>
        <v>259.2</v>
      </c>
      <c r="K65" s="45">
        <f t="shared" si="15"/>
        <v>295.1424</v>
      </c>
      <c r="L65" s="45">
        <f t="shared" si="16"/>
        <v>374.8032</v>
      </c>
      <c r="M65" s="45">
        <f t="shared" si="17"/>
        <v>414.4608</v>
      </c>
      <c r="N65" s="45">
        <f t="shared" si="18"/>
        <v>497.664</v>
      </c>
      <c r="O65" s="45">
        <f t="shared" si="19"/>
        <v>686.0160000000001</v>
      </c>
      <c r="P65" s="45">
        <f t="shared" si="20"/>
        <v>831.168</v>
      </c>
      <c r="Q65" s="45">
        <f t="shared" si="21"/>
        <v>948.672</v>
      </c>
      <c r="R65" s="45">
        <f t="shared" si="22"/>
        <v>1132.7040000000002</v>
      </c>
    </row>
    <row r="66" spans="1:18" ht="12.75">
      <c r="A66" s="50">
        <v>4100</v>
      </c>
      <c r="B66" s="51">
        <v>2.15</v>
      </c>
      <c r="C66" s="51">
        <v>2.51</v>
      </c>
      <c r="D66" s="51">
        <v>2.86</v>
      </c>
      <c r="E66" s="51">
        <v>3.21</v>
      </c>
      <c r="F66" s="51">
        <v>3.56</v>
      </c>
      <c r="G66" s="48">
        <f t="shared" si="23"/>
        <v>63</v>
      </c>
      <c r="H66" s="45">
        <f t="shared" si="12"/>
        <v>55.5345</v>
      </c>
      <c r="I66" s="45">
        <f t="shared" si="13"/>
        <v>142.0158</v>
      </c>
      <c r="J66" s="45">
        <f t="shared" si="14"/>
        <v>263.835</v>
      </c>
      <c r="K66" s="45">
        <f t="shared" si="15"/>
        <v>300.42012</v>
      </c>
      <c r="L66" s="45">
        <f t="shared" si="16"/>
        <v>380.61612</v>
      </c>
      <c r="M66" s="45">
        <f t="shared" si="17"/>
        <v>420.88878000000005</v>
      </c>
      <c r="N66" s="45">
        <f t="shared" si="18"/>
        <v>505.38239999999996</v>
      </c>
      <c r="O66" s="45">
        <f t="shared" si="19"/>
        <v>695.35344</v>
      </c>
      <c r="P66" s="45">
        <f t="shared" si="20"/>
        <v>842.48112</v>
      </c>
      <c r="Q66" s="45">
        <f t="shared" si="21"/>
        <v>961.58448</v>
      </c>
      <c r="R66" s="45">
        <f t="shared" si="22"/>
        <v>1148.12136</v>
      </c>
    </row>
    <row r="67" spans="1:18" ht="12.75">
      <c r="A67" s="50">
        <v>4200</v>
      </c>
      <c r="B67" s="51">
        <v>2.13</v>
      </c>
      <c r="C67" s="51">
        <v>2.48</v>
      </c>
      <c r="D67" s="51">
        <v>2.83</v>
      </c>
      <c r="E67" s="51">
        <v>3.18</v>
      </c>
      <c r="F67" s="51">
        <v>3.53</v>
      </c>
      <c r="G67" s="48">
        <f t="shared" si="23"/>
        <v>64</v>
      </c>
      <c r="H67" s="45">
        <f t="shared" si="12"/>
        <v>56.35980000000001</v>
      </c>
      <c r="I67" s="45">
        <f t="shared" si="13"/>
        <v>143.7408</v>
      </c>
      <c r="J67" s="45">
        <f t="shared" si="14"/>
        <v>267.435</v>
      </c>
      <c r="K67" s="45">
        <f t="shared" si="15"/>
        <v>304.51932</v>
      </c>
      <c r="L67" s="45">
        <f t="shared" si="16"/>
        <v>386.25552000000005</v>
      </c>
      <c r="M67" s="45">
        <f t="shared" si="17"/>
        <v>427.12487999999996</v>
      </c>
      <c r="N67" s="45">
        <f t="shared" si="18"/>
        <v>512.8704</v>
      </c>
      <c r="O67" s="45">
        <f t="shared" si="19"/>
        <v>706.31064</v>
      </c>
      <c r="P67" s="45">
        <f t="shared" si="20"/>
        <v>855.7567200000001</v>
      </c>
      <c r="Q67" s="45">
        <f t="shared" si="21"/>
        <v>976.73688</v>
      </c>
      <c r="R67" s="45">
        <f t="shared" si="22"/>
        <v>1166.21316</v>
      </c>
    </row>
    <row r="68" spans="1:18" ht="12.75">
      <c r="A68" s="50">
        <v>4300</v>
      </c>
      <c r="B68" s="51">
        <v>2.12</v>
      </c>
      <c r="C68" s="51">
        <v>2.46</v>
      </c>
      <c r="D68" s="51">
        <v>2.81</v>
      </c>
      <c r="E68" s="51">
        <v>3.15</v>
      </c>
      <c r="F68" s="51">
        <v>3.49</v>
      </c>
      <c r="G68" s="48">
        <f t="shared" si="23"/>
        <v>65</v>
      </c>
      <c r="H68" s="45">
        <f t="shared" si="12"/>
        <v>57.4308</v>
      </c>
      <c r="I68" s="45">
        <f t="shared" si="13"/>
        <v>145.97639999999998</v>
      </c>
      <c r="J68" s="45">
        <f t="shared" si="14"/>
        <v>271.8675</v>
      </c>
      <c r="K68" s="45">
        <f t="shared" si="15"/>
        <v>309.56646</v>
      </c>
      <c r="L68" s="45">
        <f t="shared" si="16"/>
        <v>391.7214</v>
      </c>
      <c r="M68" s="45">
        <f t="shared" si="17"/>
        <v>433.1691</v>
      </c>
      <c r="N68" s="45">
        <f t="shared" si="18"/>
        <v>520.128</v>
      </c>
      <c r="O68" s="45">
        <f t="shared" si="19"/>
        <v>714.9334800000001</v>
      </c>
      <c r="P68" s="45">
        <f t="shared" si="20"/>
        <v>866.2040400000001</v>
      </c>
      <c r="Q68" s="45">
        <f t="shared" si="21"/>
        <v>988.6611600000001</v>
      </c>
      <c r="R68" s="45">
        <f t="shared" si="22"/>
        <v>1180.4506200000003</v>
      </c>
    </row>
    <row r="69" spans="1:18" ht="12.75">
      <c r="A69" s="50">
        <v>4400</v>
      </c>
      <c r="B69" s="51">
        <v>2.11</v>
      </c>
      <c r="C69" s="51">
        <v>2.44</v>
      </c>
      <c r="D69" s="51">
        <v>2.78</v>
      </c>
      <c r="E69" s="51">
        <v>3.13</v>
      </c>
      <c r="F69" s="51">
        <v>3.46</v>
      </c>
      <c r="G69" s="48">
        <f t="shared" si="23"/>
        <v>66</v>
      </c>
      <c r="H69" s="45">
        <f aca="true" t="shared" si="24" ref="H69:H100">$A69*$B69*H$2*$C$133*$J$134*$J$135*$J$136/100</f>
        <v>58.489200000000004</v>
      </c>
      <c r="I69" s="45">
        <f aca="true" t="shared" si="25" ref="I69:I100">$A69*$C69*$I$2*$C$133*$J$134*$J$135*$J$136/100</f>
        <v>148.1568</v>
      </c>
      <c r="J69" s="45">
        <f aca="true" t="shared" si="26" ref="J69:J100">$A69*$D69*$J$2*$C$133*$J$134*$J$135*$J$136/100</f>
        <v>275.22</v>
      </c>
      <c r="K69" s="45">
        <f aca="true" t="shared" si="27" ref="K69:K100">$A69*$D69*$K$2*$C$133*$J$134*$J$135*$J$136/100</f>
        <v>313.38384</v>
      </c>
      <c r="L69" s="45">
        <f aca="true" t="shared" si="28" ref="L69:L100">$A69*$E69*$L$2*$C$133*$J$134*$J$135*$J$136/100</f>
        <v>398.28624</v>
      </c>
      <c r="M69" s="45">
        <f aca="true" t="shared" si="29" ref="M69:M100">$A69*$E69*$M$2*$C$133*$J$134*$J$135*$J$136/100</f>
        <v>440.42856</v>
      </c>
      <c r="N69" s="45">
        <f aca="true" t="shared" si="30" ref="N69:N100">$A69*$E69*$N$2*$C$133*$J$134*$J$135*$J$136/100</f>
        <v>528.8448000000001</v>
      </c>
      <c r="O69" s="45">
        <f aca="true" t="shared" si="31" ref="O69:O100">$A69*$F69*$O$2*$C$133*$J$134*$J$135*$J$136/100</f>
        <v>725.27136</v>
      </c>
      <c r="P69" s="45">
        <f aca="true" t="shared" si="32" ref="P69:P100">$A69*$F69*$P$2*$C$133*$J$134*$J$135*$J$136/100</f>
        <v>878.72928</v>
      </c>
      <c r="Q69" s="45">
        <f aca="true" t="shared" si="33" ref="Q69:Q100">$A69*$F69*$Q$2*$C$133*$J$134*$J$135*$J$136/100</f>
        <v>1002.95712</v>
      </c>
      <c r="R69" s="45">
        <f aca="true" t="shared" si="34" ref="R69:R100">$A69*$F69*$R$2*$C$133*$J$134*$J$135*$J$136/100</f>
        <v>1197.51984</v>
      </c>
    </row>
    <row r="70" spans="1:18" ht="12.75">
      <c r="A70" s="50">
        <v>4500</v>
      </c>
      <c r="B70" s="51">
        <v>2.09</v>
      </c>
      <c r="C70" s="51">
        <v>2.42</v>
      </c>
      <c r="D70" s="51">
        <v>2.75</v>
      </c>
      <c r="E70" s="51">
        <v>3.09</v>
      </c>
      <c r="F70" s="51">
        <v>3.42</v>
      </c>
      <c r="G70" s="48">
        <f aca="true" t="shared" si="35" ref="G70:G101">G69+1</f>
        <v>67</v>
      </c>
      <c r="H70" s="45">
        <f t="shared" si="24"/>
        <v>59.25150000000001</v>
      </c>
      <c r="I70" s="45">
        <f t="shared" si="25"/>
        <v>150.282</v>
      </c>
      <c r="J70" s="45">
        <f t="shared" si="26"/>
        <v>278.4375</v>
      </c>
      <c r="K70" s="45">
        <f t="shared" si="27"/>
        <v>317.0475</v>
      </c>
      <c r="L70" s="45">
        <f t="shared" si="28"/>
        <v>402.1326</v>
      </c>
      <c r="M70" s="45">
        <f t="shared" si="29"/>
        <v>444.68190000000004</v>
      </c>
      <c r="N70" s="45">
        <f t="shared" si="30"/>
        <v>533.952</v>
      </c>
      <c r="O70" s="45">
        <f t="shared" si="31"/>
        <v>733.1796</v>
      </c>
      <c r="P70" s="45">
        <f t="shared" si="32"/>
        <v>888.3108</v>
      </c>
      <c r="Q70" s="45">
        <f t="shared" si="33"/>
        <v>1013.8932000000001</v>
      </c>
      <c r="R70" s="45">
        <f t="shared" si="34"/>
        <v>1210.5774000000001</v>
      </c>
    </row>
    <row r="71" spans="1:18" ht="12.75">
      <c r="A71" s="50">
        <v>4600</v>
      </c>
      <c r="B71" s="51">
        <v>2.07</v>
      </c>
      <c r="C71" s="51">
        <v>2.4</v>
      </c>
      <c r="D71" s="51">
        <v>2.73</v>
      </c>
      <c r="E71" s="51">
        <v>3.06</v>
      </c>
      <c r="F71" s="51">
        <v>3.39</v>
      </c>
      <c r="G71" s="48">
        <f t="shared" si="35"/>
        <v>68</v>
      </c>
      <c r="H71" s="45">
        <f t="shared" si="24"/>
        <v>59.9886</v>
      </c>
      <c r="I71" s="45">
        <f t="shared" si="25"/>
        <v>152.352</v>
      </c>
      <c r="J71" s="45">
        <f t="shared" si="26"/>
        <v>282.555</v>
      </c>
      <c r="K71" s="45">
        <f t="shared" si="27"/>
        <v>321.73596000000003</v>
      </c>
      <c r="L71" s="45">
        <f t="shared" si="28"/>
        <v>407.07792</v>
      </c>
      <c r="M71" s="45">
        <f t="shared" si="29"/>
        <v>450.15048</v>
      </c>
      <c r="N71" s="45">
        <f t="shared" si="30"/>
        <v>540.5184</v>
      </c>
      <c r="O71" s="45">
        <f t="shared" si="31"/>
        <v>742.8981600000001</v>
      </c>
      <c r="P71" s="45">
        <f t="shared" si="32"/>
        <v>900.08568</v>
      </c>
      <c r="Q71" s="45">
        <f t="shared" si="33"/>
        <v>1027.3327199999999</v>
      </c>
      <c r="R71" s="45">
        <f t="shared" si="34"/>
        <v>1226.6240400000002</v>
      </c>
    </row>
    <row r="72" spans="1:18" ht="12.75">
      <c r="A72" s="50">
        <v>4700</v>
      </c>
      <c r="B72" s="51">
        <v>2.06</v>
      </c>
      <c r="C72" s="51">
        <v>2.38</v>
      </c>
      <c r="D72" s="51">
        <v>2.7</v>
      </c>
      <c r="E72" s="51">
        <v>3.03</v>
      </c>
      <c r="F72" s="51">
        <v>3.35</v>
      </c>
      <c r="G72" s="48">
        <f t="shared" si="35"/>
        <v>69</v>
      </c>
      <c r="H72" s="45">
        <f t="shared" si="24"/>
        <v>60.9966</v>
      </c>
      <c r="I72" s="45">
        <f t="shared" si="25"/>
        <v>154.3668</v>
      </c>
      <c r="J72" s="45">
        <f t="shared" si="26"/>
        <v>285.525</v>
      </c>
      <c r="K72" s="45">
        <f t="shared" si="27"/>
        <v>325.11780000000005</v>
      </c>
      <c r="L72" s="45">
        <f t="shared" si="28"/>
        <v>411.84971999999993</v>
      </c>
      <c r="M72" s="45">
        <f t="shared" si="29"/>
        <v>455.4271799999999</v>
      </c>
      <c r="N72" s="45">
        <f t="shared" si="30"/>
        <v>546.8543999999998</v>
      </c>
      <c r="O72" s="45">
        <f t="shared" si="31"/>
        <v>750.0918</v>
      </c>
      <c r="P72" s="45">
        <f t="shared" si="32"/>
        <v>908.8014</v>
      </c>
      <c r="Q72" s="45">
        <f t="shared" si="33"/>
        <v>1037.2806</v>
      </c>
      <c r="R72" s="45">
        <f t="shared" si="34"/>
        <v>1238.5017</v>
      </c>
    </row>
    <row r="73" spans="1:18" ht="12.75">
      <c r="A73" s="50">
        <v>4800</v>
      </c>
      <c r="B73" s="51">
        <v>2.04</v>
      </c>
      <c r="C73" s="51">
        <v>2.36</v>
      </c>
      <c r="D73" s="51">
        <v>2.68</v>
      </c>
      <c r="E73" s="51">
        <v>3</v>
      </c>
      <c r="F73" s="51">
        <v>3.32</v>
      </c>
      <c r="G73" s="48">
        <f t="shared" si="35"/>
        <v>70</v>
      </c>
      <c r="H73" s="45">
        <f t="shared" si="24"/>
        <v>61.6896</v>
      </c>
      <c r="I73" s="45">
        <f t="shared" si="25"/>
        <v>156.3264</v>
      </c>
      <c r="J73" s="45">
        <f t="shared" si="26"/>
        <v>289.44</v>
      </c>
      <c r="K73" s="45">
        <f t="shared" si="27"/>
        <v>329.57568</v>
      </c>
      <c r="L73" s="45">
        <f t="shared" si="28"/>
        <v>416.44800000000004</v>
      </c>
      <c r="M73" s="45">
        <f t="shared" si="29"/>
        <v>460.51200000000006</v>
      </c>
      <c r="N73" s="45">
        <f t="shared" si="30"/>
        <v>552.96</v>
      </c>
      <c r="O73" s="45">
        <f t="shared" si="31"/>
        <v>759.19104</v>
      </c>
      <c r="P73" s="45">
        <f t="shared" si="32"/>
        <v>919.82592</v>
      </c>
      <c r="Q73" s="45">
        <f t="shared" si="33"/>
        <v>1049.86368</v>
      </c>
      <c r="R73" s="45">
        <f t="shared" si="34"/>
        <v>1253.52576</v>
      </c>
    </row>
    <row r="74" spans="1:18" ht="12.75">
      <c r="A74" s="50">
        <v>4900</v>
      </c>
      <c r="B74" s="51">
        <v>2.02</v>
      </c>
      <c r="C74" s="51">
        <v>2.34</v>
      </c>
      <c r="D74" s="51">
        <v>2.65</v>
      </c>
      <c r="E74" s="51">
        <v>2.96</v>
      </c>
      <c r="F74" s="51">
        <v>3.28</v>
      </c>
      <c r="G74" s="48">
        <f t="shared" si="35"/>
        <v>71</v>
      </c>
      <c r="H74" s="45">
        <f t="shared" si="24"/>
        <v>62.3574</v>
      </c>
      <c r="I74" s="45">
        <f t="shared" si="25"/>
        <v>158.2308</v>
      </c>
      <c r="J74" s="45">
        <f t="shared" si="26"/>
        <v>292.1625</v>
      </c>
      <c r="K74" s="45">
        <f t="shared" si="27"/>
        <v>332.6757</v>
      </c>
      <c r="L74" s="45">
        <f t="shared" si="28"/>
        <v>419.45568</v>
      </c>
      <c r="M74" s="45">
        <f t="shared" si="29"/>
        <v>463.83792</v>
      </c>
      <c r="N74" s="45">
        <f t="shared" si="30"/>
        <v>556.9536</v>
      </c>
      <c r="O74" s="45">
        <f t="shared" si="31"/>
        <v>765.6700799999999</v>
      </c>
      <c r="P74" s="45">
        <f t="shared" si="32"/>
        <v>927.6758399999999</v>
      </c>
      <c r="Q74" s="45">
        <f t="shared" si="33"/>
        <v>1058.8233599999999</v>
      </c>
      <c r="R74" s="45">
        <f t="shared" si="34"/>
        <v>1264.2235199999998</v>
      </c>
    </row>
    <row r="75" spans="1:18" ht="12.75">
      <c r="A75" s="50">
        <v>5000</v>
      </c>
      <c r="B75" s="51">
        <v>2</v>
      </c>
      <c r="C75" s="51">
        <v>2.31</v>
      </c>
      <c r="D75" s="51">
        <v>2.62</v>
      </c>
      <c r="E75" s="51">
        <v>2.93</v>
      </c>
      <c r="F75" s="51">
        <v>3.24</v>
      </c>
      <c r="G75" s="48">
        <f t="shared" si="35"/>
        <v>72</v>
      </c>
      <c r="H75" s="45">
        <f t="shared" si="24"/>
        <v>63</v>
      </c>
      <c r="I75" s="45">
        <f t="shared" si="25"/>
        <v>159.39</v>
      </c>
      <c r="J75" s="45">
        <f t="shared" si="26"/>
        <v>294.75</v>
      </c>
      <c r="K75" s="45">
        <f t="shared" si="27"/>
        <v>335.62199999999996</v>
      </c>
      <c r="L75" s="45">
        <f t="shared" si="28"/>
        <v>423.67800000000005</v>
      </c>
      <c r="M75" s="45">
        <f t="shared" si="29"/>
        <v>468.50700000000006</v>
      </c>
      <c r="N75" s="45">
        <f t="shared" si="30"/>
        <v>562.56</v>
      </c>
      <c r="O75" s="45">
        <f t="shared" si="31"/>
        <v>771.7680000000001</v>
      </c>
      <c r="P75" s="45">
        <f t="shared" si="32"/>
        <v>935.0640000000001</v>
      </c>
      <c r="Q75" s="45">
        <f t="shared" si="33"/>
        <v>1067.2560000000003</v>
      </c>
      <c r="R75" s="45">
        <f t="shared" si="34"/>
        <v>1274.2920000000004</v>
      </c>
    </row>
    <row r="76" spans="1:18" ht="12.75">
      <c r="A76" s="50">
        <v>5200</v>
      </c>
      <c r="B76" s="51">
        <v>1.98</v>
      </c>
      <c r="C76" s="51">
        <v>2.29</v>
      </c>
      <c r="D76" s="51">
        <v>2.59</v>
      </c>
      <c r="E76" s="51">
        <v>2.9</v>
      </c>
      <c r="F76" s="51">
        <v>3.2</v>
      </c>
      <c r="G76" s="48">
        <f t="shared" si="35"/>
        <v>73</v>
      </c>
      <c r="H76" s="45">
        <f t="shared" si="24"/>
        <v>64.8648</v>
      </c>
      <c r="I76" s="45">
        <f t="shared" si="25"/>
        <v>164.3304</v>
      </c>
      <c r="J76" s="45">
        <f t="shared" si="26"/>
        <v>303.03</v>
      </c>
      <c r="K76" s="45">
        <f t="shared" si="27"/>
        <v>345.05016</v>
      </c>
      <c r="L76" s="45">
        <f t="shared" si="28"/>
        <v>436.1136</v>
      </c>
      <c r="M76" s="45">
        <f t="shared" si="29"/>
        <v>482.25840000000005</v>
      </c>
      <c r="N76" s="45">
        <f t="shared" si="30"/>
        <v>579.072</v>
      </c>
      <c r="O76" s="45">
        <f t="shared" si="31"/>
        <v>792.7296000000001</v>
      </c>
      <c r="P76" s="45">
        <f t="shared" si="32"/>
        <v>960.4608000000001</v>
      </c>
      <c r="Q76" s="45">
        <f t="shared" si="33"/>
        <v>1096.2432000000001</v>
      </c>
      <c r="R76" s="45">
        <f t="shared" si="34"/>
        <v>1308.9024</v>
      </c>
    </row>
    <row r="77" spans="1:18" ht="12.75">
      <c r="A77" s="50">
        <v>5400</v>
      </c>
      <c r="B77" s="51">
        <v>1.96</v>
      </c>
      <c r="C77" s="51">
        <v>2.27</v>
      </c>
      <c r="D77" s="51">
        <v>2.57</v>
      </c>
      <c r="E77" s="51">
        <v>2.87</v>
      </c>
      <c r="F77" s="51">
        <v>3.17</v>
      </c>
      <c r="G77" s="48">
        <f t="shared" si="35"/>
        <v>74</v>
      </c>
      <c r="H77" s="45">
        <f t="shared" si="24"/>
        <v>66.6792</v>
      </c>
      <c r="I77" s="45">
        <f t="shared" si="25"/>
        <v>169.1604</v>
      </c>
      <c r="J77" s="45">
        <f t="shared" si="26"/>
        <v>312.255</v>
      </c>
      <c r="K77" s="45">
        <f t="shared" si="27"/>
        <v>355.55436000000003</v>
      </c>
      <c r="L77" s="45">
        <f t="shared" si="28"/>
        <v>448.20216</v>
      </c>
      <c r="M77" s="45">
        <f t="shared" si="29"/>
        <v>495.62604</v>
      </c>
      <c r="N77" s="45">
        <f t="shared" si="30"/>
        <v>595.1232</v>
      </c>
      <c r="O77" s="45">
        <f t="shared" si="31"/>
        <v>815.50152</v>
      </c>
      <c r="P77" s="45">
        <f t="shared" si="32"/>
        <v>988.05096</v>
      </c>
      <c r="Q77" s="45">
        <f t="shared" si="33"/>
        <v>1127.73384</v>
      </c>
      <c r="R77" s="45">
        <f t="shared" si="34"/>
        <v>1346.50188</v>
      </c>
    </row>
    <row r="78" spans="1:18" ht="12.75">
      <c r="A78" s="50">
        <v>5600</v>
      </c>
      <c r="B78" s="51">
        <v>1.95</v>
      </c>
      <c r="C78" s="51">
        <v>2.25</v>
      </c>
      <c r="D78" s="51">
        <v>2.54</v>
      </c>
      <c r="E78" s="51">
        <v>2.84</v>
      </c>
      <c r="F78" s="51">
        <v>3.14</v>
      </c>
      <c r="G78" s="48">
        <f t="shared" si="35"/>
        <v>75</v>
      </c>
      <c r="H78" s="45">
        <f t="shared" si="24"/>
        <v>68.796</v>
      </c>
      <c r="I78" s="45">
        <f t="shared" si="25"/>
        <v>173.88</v>
      </c>
      <c r="J78" s="45">
        <f t="shared" si="26"/>
        <v>320.04</v>
      </c>
      <c r="K78" s="45">
        <f t="shared" si="27"/>
        <v>364.41888</v>
      </c>
      <c r="L78" s="45">
        <f t="shared" si="28"/>
        <v>459.94368000000003</v>
      </c>
      <c r="M78" s="45">
        <f t="shared" si="29"/>
        <v>508.60992</v>
      </c>
      <c r="N78" s="45">
        <f t="shared" si="30"/>
        <v>610.7136</v>
      </c>
      <c r="O78" s="45">
        <f t="shared" si="31"/>
        <v>837.70176</v>
      </c>
      <c r="P78" s="45">
        <f t="shared" si="32"/>
        <v>1014.94848</v>
      </c>
      <c r="Q78" s="45">
        <f t="shared" si="33"/>
        <v>1158.4339200000002</v>
      </c>
      <c r="R78" s="45">
        <f t="shared" si="34"/>
        <v>1383.15744</v>
      </c>
    </row>
    <row r="79" spans="1:18" ht="12.75">
      <c r="A79" s="50">
        <v>5800</v>
      </c>
      <c r="B79" s="51">
        <v>1.93</v>
      </c>
      <c r="C79" s="51">
        <v>2.23</v>
      </c>
      <c r="D79" s="51">
        <v>2.52</v>
      </c>
      <c r="E79" s="51">
        <v>2.82</v>
      </c>
      <c r="F79" s="51">
        <v>3.11</v>
      </c>
      <c r="G79" s="48">
        <f t="shared" si="35"/>
        <v>76</v>
      </c>
      <c r="H79" s="45">
        <f t="shared" si="24"/>
        <v>70.5222</v>
      </c>
      <c r="I79" s="45">
        <f t="shared" si="25"/>
        <v>178.4892</v>
      </c>
      <c r="J79" s="45">
        <f t="shared" si="26"/>
        <v>328.86</v>
      </c>
      <c r="K79" s="45">
        <f t="shared" si="27"/>
        <v>374.46192</v>
      </c>
      <c r="L79" s="45">
        <f t="shared" si="28"/>
        <v>473.01552</v>
      </c>
      <c r="M79" s="45">
        <f t="shared" si="29"/>
        <v>523.0648799999999</v>
      </c>
      <c r="N79" s="45">
        <f t="shared" si="30"/>
        <v>628.0704</v>
      </c>
      <c r="O79" s="45">
        <f t="shared" si="31"/>
        <v>859.33032</v>
      </c>
      <c r="P79" s="45">
        <f t="shared" si="32"/>
        <v>1041.15336</v>
      </c>
      <c r="Q79" s="45">
        <f t="shared" si="33"/>
        <v>1188.3434399999999</v>
      </c>
      <c r="R79" s="45">
        <f t="shared" si="34"/>
        <v>1418.86908</v>
      </c>
    </row>
    <row r="80" spans="1:18" ht="12.75">
      <c r="A80" s="50">
        <v>6000</v>
      </c>
      <c r="B80" s="51">
        <v>1.92</v>
      </c>
      <c r="C80" s="51">
        <v>2.21</v>
      </c>
      <c r="D80" s="51">
        <v>2.5</v>
      </c>
      <c r="E80" s="51">
        <v>2.79</v>
      </c>
      <c r="F80" s="51">
        <v>3.08</v>
      </c>
      <c r="G80" s="48">
        <f t="shared" si="35"/>
        <v>77</v>
      </c>
      <c r="H80" s="45">
        <f t="shared" si="24"/>
        <v>72.57600000000001</v>
      </c>
      <c r="I80" s="45">
        <f t="shared" si="25"/>
        <v>182.988</v>
      </c>
      <c r="J80" s="45">
        <f t="shared" si="26"/>
        <v>337.5</v>
      </c>
      <c r="K80" s="45">
        <f t="shared" si="27"/>
        <v>384.3</v>
      </c>
      <c r="L80" s="45">
        <f t="shared" si="28"/>
        <v>484.12080000000003</v>
      </c>
      <c r="M80" s="45">
        <f t="shared" si="29"/>
        <v>535.3452000000001</v>
      </c>
      <c r="N80" s="45">
        <f t="shared" si="30"/>
        <v>642.816</v>
      </c>
      <c r="O80" s="45">
        <f t="shared" si="31"/>
        <v>880.3872</v>
      </c>
      <c r="P80" s="45">
        <f t="shared" si="32"/>
        <v>1066.6656</v>
      </c>
      <c r="Q80" s="45">
        <f t="shared" si="33"/>
        <v>1217.4624000000001</v>
      </c>
      <c r="R80" s="45">
        <f t="shared" si="34"/>
        <v>1453.6368</v>
      </c>
    </row>
    <row r="81" spans="1:18" ht="12.75">
      <c r="A81" s="50">
        <v>6500</v>
      </c>
      <c r="B81" s="51">
        <v>1.88</v>
      </c>
      <c r="C81" s="51">
        <v>2.16</v>
      </c>
      <c r="D81" s="51">
        <v>2.44</v>
      </c>
      <c r="E81" s="51">
        <v>2.72</v>
      </c>
      <c r="F81" s="51">
        <v>3</v>
      </c>
      <c r="G81" s="48">
        <f t="shared" si="35"/>
        <v>78</v>
      </c>
      <c r="H81" s="45">
        <f t="shared" si="24"/>
        <v>76.986</v>
      </c>
      <c r="I81" s="45">
        <f t="shared" si="25"/>
        <v>193.75200000000004</v>
      </c>
      <c r="J81" s="45">
        <f t="shared" si="26"/>
        <v>356.85</v>
      </c>
      <c r="K81" s="45">
        <f t="shared" si="27"/>
        <v>406.3332</v>
      </c>
      <c r="L81" s="45">
        <f t="shared" si="28"/>
        <v>511.30559999999997</v>
      </c>
      <c r="M81" s="45">
        <f t="shared" si="29"/>
        <v>565.4064</v>
      </c>
      <c r="N81" s="45">
        <f t="shared" si="30"/>
        <v>678.9119999999999</v>
      </c>
      <c r="O81" s="45">
        <f t="shared" si="31"/>
        <v>928.98</v>
      </c>
      <c r="P81" s="45">
        <f t="shared" si="32"/>
        <v>1125.54</v>
      </c>
      <c r="Q81" s="45">
        <f t="shared" si="33"/>
        <v>1284.66</v>
      </c>
      <c r="R81" s="45">
        <f t="shared" si="34"/>
        <v>1533.87</v>
      </c>
    </row>
    <row r="82" spans="1:18" ht="12.75">
      <c r="A82" s="50">
        <v>7000</v>
      </c>
      <c r="B82" s="51">
        <v>1.84</v>
      </c>
      <c r="C82" s="51">
        <v>2.11</v>
      </c>
      <c r="D82" s="51">
        <v>2.38</v>
      </c>
      <c r="E82" s="51">
        <v>2.66</v>
      </c>
      <c r="F82" s="51">
        <v>2.92</v>
      </c>
      <c r="G82" s="48">
        <f t="shared" si="35"/>
        <v>79</v>
      </c>
      <c r="H82" s="45">
        <f t="shared" si="24"/>
        <v>81.144</v>
      </c>
      <c r="I82" s="45">
        <f t="shared" si="25"/>
        <v>203.82600000000002</v>
      </c>
      <c r="J82" s="45">
        <f t="shared" si="26"/>
        <v>374.85</v>
      </c>
      <c r="K82" s="45">
        <f t="shared" si="27"/>
        <v>426.82919999999996</v>
      </c>
      <c r="L82" s="45">
        <f t="shared" si="28"/>
        <v>538.4904</v>
      </c>
      <c r="M82" s="45">
        <f t="shared" si="29"/>
        <v>595.4676000000001</v>
      </c>
      <c r="N82" s="45">
        <f t="shared" si="30"/>
        <v>715.008</v>
      </c>
      <c r="O82" s="45">
        <f t="shared" si="31"/>
        <v>973.7616</v>
      </c>
      <c r="P82" s="45">
        <f t="shared" si="32"/>
        <v>1179.7968</v>
      </c>
      <c r="Q82" s="45">
        <f t="shared" si="33"/>
        <v>1346.5872</v>
      </c>
      <c r="R82" s="45">
        <f t="shared" si="34"/>
        <v>1607.8104</v>
      </c>
    </row>
    <row r="83" spans="1:18" ht="12.75">
      <c r="A83" s="50">
        <v>7500</v>
      </c>
      <c r="B83" s="51">
        <v>1.8</v>
      </c>
      <c r="C83" s="51">
        <v>2.07</v>
      </c>
      <c r="D83" s="51">
        <v>2.32</v>
      </c>
      <c r="E83" s="51">
        <v>2.59</v>
      </c>
      <c r="F83" s="51">
        <v>2.84</v>
      </c>
      <c r="G83" s="48">
        <f t="shared" si="35"/>
        <v>80</v>
      </c>
      <c r="H83" s="45">
        <f t="shared" si="24"/>
        <v>85.05</v>
      </c>
      <c r="I83" s="45">
        <f t="shared" si="25"/>
        <v>214.24499999999998</v>
      </c>
      <c r="J83" s="45">
        <f t="shared" si="26"/>
        <v>391.5</v>
      </c>
      <c r="K83" s="45">
        <f t="shared" si="27"/>
        <v>445.788</v>
      </c>
      <c r="L83" s="45">
        <f t="shared" si="28"/>
        <v>561.771</v>
      </c>
      <c r="M83" s="45">
        <f t="shared" si="29"/>
        <v>621.2115</v>
      </c>
      <c r="N83" s="45">
        <f t="shared" si="30"/>
        <v>745.92</v>
      </c>
      <c r="O83" s="45">
        <f t="shared" si="31"/>
        <v>1014.732</v>
      </c>
      <c r="P83" s="45">
        <f t="shared" si="32"/>
        <v>1229.4360000000001</v>
      </c>
      <c r="Q83" s="45">
        <f t="shared" si="33"/>
        <v>1403.244</v>
      </c>
      <c r="R83" s="45">
        <f t="shared" si="34"/>
        <v>1675.458</v>
      </c>
    </row>
    <row r="84" spans="1:18" ht="12.75">
      <c r="A84" s="50">
        <v>8000</v>
      </c>
      <c r="B84" s="51">
        <v>1.77</v>
      </c>
      <c r="C84" s="51">
        <v>2.03</v>
      </c>
      <c r="D84" s="51">
        <v>2.28</v>
      </c>
      <c r="E84" s="51">
        <v>2.54</v>
      </c>
      <c r="F84" s="51">
        <v>2.79</v>
      </c>
      <c r="G84" s="48">
        <f t="shared" si="35"/>
        <v>81</v>
      </c>
      <c r="H84" s="45">
        <f t="shared" si="24"/>
        <v>89.20800000000001</v>
      </c>
      <c r="I84" s="45">
        <f t="shared" si="25"/>
        <v>224.11199999999997</v>
      </c>
      <c r="J84" s="45">
        <f t="shared" si="26"/>
        <v>410.4</v>
      </c>
      <c r="K84" s="45">
        <f t="shared" si="27"/>
        <v>467.30879999999996</v>
      </c>
      <c r="L84" s="45">
        <f t="shared" si="28"/>
        <v>587.6544</v>
      </c>
      <c r="M84" s="45">
        <f t="shared" si="29"/>
        <v>649.8336</v>
      </c>
      <c r="N84" s="45">
        <f t="shared" si="30"/>
        <v>780.288</v>
      </c>
      <c r="O84" s="45">
        <f t="shared" si="31"/>
        <v>1063.3247999999999</v>
      </c>
      <c r="P84" s="45">
        <f t="shared" si="32"/>
        <v>1288.3104</v>
      </c>
      <c r="Q84" s="45">
        <f t="shared" si="33"/>
        <v>1470.4416</v>
      </c>
      <c r="R84" s="45">
        <f t="shared" si="34"/>
        <v>1755.6912</v>
      </c>
    </row>
    <row r="85" spans="1:18" ht="12.75">
      <c r="A85" s="50">
        <v>8500</v>
      </c>
      <c r="B85" s="51">
        <v>1.75</v>
      </c>
      <c r="C85" s="51">
        <v>2</v>
      </c>
      <c r="D85" s="51">
        <v>2.25</v>
      </c>
      <c r="E85" s="51">
        <v>2.5</v>
      </c>
      <c r="F85" s="51">
        <v>2.74</v>
      </c>
      <c r="G85" s="48">
        <f t="shared" si="35"/>
        <v>82</v>
      </c>
      <c r="H85" s="45">
        <f t="shared" si="24"/>
        <v>93.7125</v>
      </c>
      <c r="I85" s="45">
        <f t="shared" si="25"/>
        <v>234.6</v>
      </c>
      <c r="J85" s="45">
        <f t="shared" si="26"/>
        <v>430.3125</v>
      </c>
      <c r="K85" s="45">
        <f t="shared" si="27"/>
        <v>489.9825</v>
      </c>
      <c r="L85" s="45">
        <f t="shared" si="28"/>
        <v>614.55</v>
      </c>
      <c r="M85" s="45">
        <f t="shared" si="29"/>
        <v>679.575</v>
      </c>
      <c r="N85" s="45">
        <f t="shared" si="30"/>
        <v>816</v>
      </c>
      <c r="O85" s="45">
        <f t="shared" si="31"/>
        <v>1109.5356</v>
      </c>
      <c r="P85" s="45">
        <f t="shared" si="32"/>
        <v>1344.2988</v>
      </c>
      <c r="Q85" s="45">
        <f t="shared" si="33"/>
        <v>1534.3452</v>
      </c>
      <c r="R85" s="45">
        <f t="shared" si="34"/>
        <v>1831.9914</v>
      </c>
    </row>
    <row r="86" spans="1:18" ht="12.75">
      <c r="A86" s="50">
        <v>9000</v>
      </c>
      <c r="B86" s="51">
        <v>1.73</v>
      </c>
      <c r="C86" s="51">
        <v>1.97</v>
      </c>
      <c r="D86" s="51">
        <v>2.21</v>
      </c>
      <c r="E86" s="51">
        <v>2.46</v>
      </c>
      <c r="F86" s="51">
        <v>2.7</v>
      </c>
      <c r="G86" s="48">
        <f t="shared" si="35"/>
        <v>83</v>
      </c>
      <c r="H86" s="45">
        <f t="shared" si="24"/>
        <v>98.09100000000001</v>
      </c>
      <c r="I86" s="45">
        <f t="shared" si="25"/>
        <v>244.674</v>
      </c>
      <c r="J86" s="45">
        <f t="shared" si="26"/>
        <v>447.525</v>
      </c>
      <c r="K86" s="45">
        <f t="shared" si="27"/>
        <v>509.5818</v>
      </c>
      <c r="L86" s="45">
        <f t="shared" si="28"/>
        <v>640.2888</v>
      </c>
      <c r="M86" s="45">
        <f t="shared" si="29"/>
        <v>708.0372</v>
      </c>
      <c r="N86" s="45">
        <f t="shared" si="30"/>
        <v>850.176</v>
      </c>
      <c r="O86" s="45">
        <f t="shared" si="31"/>
        <v>1157.652</v>
      </c>
      <c r="P86" s="45">
        <f t="shared" si="32"/>
        <v>1402.596</v>
      </c>
      <c r="Q86" s="45">
        <f t="shared" si="33"/>
        <v>1600.884</v>
      </c>
      <c r="R86" s="45">
        <f t="shared" si="34"/>
        <v>1911.438</v>
      </c>
    </row>
    <row r="87" spans="1:18" ht="12.75">
      <c r="A87" s="50">
        <v>9500</v>
      </c>
      <c r="B87" s="51">
        <v>1.71</v>
      </c>
      <c r="C87" s="51">
        <v>1.94</v>
      </c>
      <c r="D87" s="51">
        <v>2.18</v>
      </c>
      <c r="E87" s="51">
        <v>2.42</v>
      </c>
      <c r="F87" s="51">
        <v>2.65</v>
      </c>
      <c r="G87" s="48">
        <f t="shared" si="35"/>
        <v>84</v>
      </c>
      <c r="H87" s="45">
        <f t="shared" si="24"/>
        <v>102.3435</v>
      </c>
      <c r="I87" s="45">
        <f t="shared" si="25"/>
        <v>254.334</v>
      </c>
      <c r="J87" s="45">
        <f t="shared" si="26"/>
        <v>465.975</v>
      </c>
      <c r="K87" s="45">
        <f t="shared" si="27"/>
        <v>530.5902000000001</v>
      </c>
      <c r="L87" s="45">
        <f t="shared" si="28"/>
        <v>664.8708</v>
      </c>
      <c r="M87" s="45">
        <f t="shared" si="29"/>
        <v>735.2202000000001</v>
      </c>
      <c r="N87" s="45">
        <f t="shared" si="30"/>
        <v>882.816</v>
      </c>
      <c r="O87" s="45">
        <f t="shared" si="31"/>
        <v>1199.337</v>
      </c>
      <c r="P87" s="45">
        <f t="shared" si="32"/>
        <v>1453.101</v>
      </c>
      <c r="Q87" s="45">
        <f t="shared" si="33"/>
        <v>1658.529</v>
      </c>
      <c r="R87" s="45">
        <f t="shared" si="34"/>
        <v>1980.2655000000002</v>
      </c>
    </row>
    <row r="88" spans="1:18" ht="12.75">
      <c r="A88" s="50">
        <v>10000</v>
      </c>
      <c r="B88" s="51">
        <v>1.69</v>
      </c>
      <c r="C88" s="51">
        <v>1.91</v>
      </c>
      <c r="D88" s="51">
        <v>2.15</v>
      </c>
      <c r="E88" s="51">
        <v>2.33</v>
      </c>
      <c r="F88" s="51">
        <v>2.61</v>
      </c>
      <c r="G88" s="48">
        <f t="shared" si="35"/>
        <v>85</v>
      </c>
      <c r="H88" s="45">
        <f t="shared" si="24"/>
        <v>106.47</v>
      </c>
      <c r="I88" s="45">
        <f t="shared" si="25"/>
        <v>263.58</v>
      </c>
      <c r="J88" s="45">
        <f t="shared" si="26"/>
        <v>483.75</v>
      </c>
      <c r="K88" s="45">
        <f t="shared" si="27"/>
        <v>550.83</v>
      </c>
      <c r="L88" s="45">
        <f t="shared" si="28"/>
        <v>673.836</v>
      </c>
      <c r="M88" s="45">
        <f t="shared" si="29"/>
        <v>745.1340000000001</v>
      </c>
      <c r="N88" s="45">
        <f t="shared" si="30"/>
        <v>894.72</v>
      </c>
      <c r="O88" s="45">
        <f t="shared" si="31"/>
        <v>1243.404</v>
      </c>
      <c r="P88" s="45">
        <f t="shared" si="32"/>
        <v>1506.4920000000002</v>
      </c>
      <c r="Q88" s="45">
        <f t="shared" si="33"/>
        <v>1719.468</v>
      </c>
      <c r="R88" s="45">
        <f t="shared" si="34"/>
        <v>2053.026</v>
      </c>
    </row>
    <row r="89" spans="1:18" ht="12.75">
      <c r="A89" s="50">
        <v>10500</v>
      </c>
      <c r="B89" s="51">
        <v>1.66</v>
      </c>
      <c r="C89" s="51">
        <v>1.88</v>
      </c>
      <c r="D89" s="51">
        <v>2.12</v>
      </c>
      <c r="E89" s="51">
        <v>2.34</v>
      </c>
      <c r="F89" s="51">
        <v>2.57</v>
      </c>
      <c r="G89" s="48">
        <f t="shared" si="35"/>
        <v>86</v>
      </c>
      <c r="H89" s="45">
        <f t="shared" si="24"/>
        <v>109.809</v>
      </c>
      <c r="I89" s="45">
        <f t="shared" si="25"/>
        <v>272.41200000000003</v>
      </c>
      <c r="J89" s="45">
        <f t="shared" si="26"/>
        <v>500.85</v>
      </c>
      <c r="K89" s="45">
        <f t="shared" si="27"/>
        <v>570.3012</v>
      </c>
      <c r="L89" s="45">
        <f t="shared" si="28"/>
        <v>710.5644</v>
      </c>
      <c r="M89" s="45">
        <f t="shared" si="29"/>
        <v>785.7486</v>
      </c>
      <c r="N89" s="45">
        <f t="shared" si="30"/>
        <v>943.488</v>
      </c>
      <c r="O89" s="45">
        <f t="shared" si="31"/>
        <v>1285.5654000000002</v>
      </c>
      <c r="P89" s="45">
        <f t="shared" si="32"/>
        <v>1557.5742</v>
      </c>
      <c r="Q89" s="45">
        <f t="shared" si="33"/>
        <v>1777.7718</v>
      </c>
      <c r="R89" s="45">
        <f t="shared" si="34"/>
        <v>2122.6401</v>
      </c>
    </row>
    <row r="90" spans="1:18" ht="12.75">
      <c r="A90" s="50">
        <v>11000</v>
      </c>
      <c r="B90" s="51">
        <v>1.64</v>
      </c>
      <c r="C90" s="51">
        <v>1.86</v>
      </c>
      <c r="D90" s="51">
        <v>2.09</v>
      </c>
      <c r="E90" s="51">
        <v>2.31</v>
      </c>
      <c r="F90" s="51">
        <v>2.53</v>
      </c>
      <c r="G90" s="48">
        <f t="shared" si="35"/>
        <v>87</v>
      </c>
      <c r="H90" s="45">
        <f t="shared" si="24"/>
        <v>113.652</v>
      </c>
      <c r="I90" s="45">
        <f t="shared" si="25"/>
        <v>282.348</v>
      </c>
      <c r="J90" s="45">
        <f t="shared" si="26"/>
        <v>517.275</v>
      </c>
      <c r="K90" s="45">
        <f t="shared" si="27"/>
        <v>589.0038000000001</v>
      </c>
      <c r="L90" s="45">
        <f t="shared" si="28"/>
        <v>734.8572</v>
      </c>
      <c r="M90" s="45">
        <f t="shared" si="29"/>
        <v>812.6118000000001</v>
      </c>
      <c r="N90" s="45">
        <f t="shared" si="30"/>
        <v>975.7440000000001</v>
      </c>
      <c r="O90" s="45">
        <f t="shared" si="31"/>
        <v>1325.8211999999996</v>
      </c>
      <c r="P90" s="45">
        <f t="shared" si="32"/>
        <v>1606.3475999999998</v>
      </c>
      <c r="Q90" s="45">
        <f t="shared" si="33"/>
        <v>1833.4403999999997</v>
      </c>
      <c r="R90" s="45">
        <f t="shared" si="34"/>
        <v>2189.1077999999998</v>
      </c>
    </row>
    <row r="91" spans="1:18" ht="12.75">
      <c r="A91" s="50">
        <v>11500</v>
      </c>
      <c r="B91" s="51">
        <v>1.61</v>
      </c>
      <c r="C91" s="51">
        <v>1.83</v>
      </c>
      <c r="D91" s="51">
        <v>2.06</v>
      </c>
      <c r="E91" s="51">
        <v>2.27</v>
      </c>
      <c r="F91" s="51">
        <v>2.49</v>
      </c>
      <c r="G91" s="48">
        <f t="shared" si="35"/>
        <v>88</v>
      </c>
      <c r="H91" s="45">
        <f t="shared" si="24"/>
        <v>116.64450000000001</v>
      </c>
      <c r="I91" s="45">
        <f t="shared" si="25"/>
        <v>290.42100000000005</v>
      </c>
      <c r="J91" s="45">
        <f t="shared" si="26"/>
        <v>533.025</v>
      </c>
      <c r="K91" s="45">
        <f t="shared" si="27"/>
        <v>606.9378</v>
      </c>
      <c r="L91" s="45">
        <f t="shared" si="28"/>
        <v>754.9566</v>
      </c>
      <c r="M91" s="45">
        <f t="shared" si="29"/>
        <v>834.8379000000001</v>
      </c>
      <c r="N91" s="45">
        <f t="shared" si="30"/>
        <v>1002.432</v>
      </c>
      <c r="O91" s="45">
        <f t="shared" si="31"/>
        <v>1364.1714000000002</v>
      </c>
      <c r="P91" s="45">
        <f t="shared" si="32"/>
        <v>1652.8122000000003</v>
      </c>
      <c r="Q91" s="45">
        <f t="shared" si="33"/>
        <v>1886.4738000000004</v>
      </c>
      <c r="R91" s="45">
        <f t="shared" si="34"/>
        <v>2252.4291000000007</v>
      </c>
    </row>
    <row r="92" spans="1:18" ht="12.75">
      <c r="A92" s="50">
        <v>12000</v>
      </c>
      <c r="B92" s="51">
        <v>1.59</v>
      </c>
      <c r="C92" s="51">
        <v>1.81</v>
      </c>
      <c r="D92" s="51">
        <v>2.03</v>
      </c>
      <c r="E92" s="51">
        <v>2.24</v>
      </c>
      <c r="F92" s="51">
        <v>2.45</v>
      </c>
      <c r="G92" s="48">
        <f t="shared" si="35"/>
        <v>89</v>
      </c>
      <c r="H92" s="45">
        <f t="shared" si="24"/>
        <v>120.204</v>
      </c>
      <c r="I92" s="45">
        <f t="shared" si="25"/>
        <v>299.73600000000005</v>
      </c>
      <c r="J92" s="45">
        <f t="shared" si="26"/>
        <v>548.0999999999999</v>
      </c>
      <c r="K92" s="45">
        <f t="shared" si="27"/>
        <v>624.1031999999999</v>
      </c>
      <c r="L92" s="45">
        <f t="shared" si="28"/>
        <v>777.3696000000001</v>
      </c>
      <c r="M92" s="45">
        <f t="shared" si="29"/>
        <v>859.6224000000002</v>
      </c>
      <c r="N92" s="45">
        <f t="shared" si="30"/>
        <v>1032.1920000000002</v>
      </c>
      <c r="O92" s="45">
        <f t="shared" si="31"/>
        <v>1400.6160000000004</v>
      </c>
      <c r="P92" s="45">
        <f t="shared" si="32"/>
        <v>1696.968</v>
      </c>
      <c r="Q92" s="45">
        <f t="shared" si="33"/>
        <v>1936.8720000000003</v>
      </c>
      <c r="R92" s="45">
        <f t="shared" si="34"/>
        <v>2312.6040000000007</v>
      </c>
    </row>
    <row r="93" spans="1:18" ht="12.75">
      <c r="A93" s="50">
        <v>12500</v>
      </c>
      <c r="B93" s="51">
        <v>1.57</v>
      </c>
      <c r="C93" s="51">
        <v>1.79</v>
      </c>
      <c r="D93" s="51">
        <v>2</v>
      </c>
      <c r="E93" s="51">
        <v>2.21</v>
      </c>
      <c r="F93" s="51">
        <v>2.42</v>
      </c>
      <c r="G93" s="48">
        <f t="shared" si="35"/>
        <v>90</v>
      </c>
      <c r="H93" s="45">
        <f t="shared" si="24"/>
        <v>123.6375</v>
      </c>
      <c r="I93" s="45">
        <f t="shared" si="25"/>
        <v>308.775</v>
      </c>
      <c r="J93" s="45">
        <f t="shared" si="26"/>
        <v>562.5</v>
      </c>
      <c r="K93" s="45">
        <f t="shared" si="27"/>
        <v>640.5</v>
      </c>
      <c r="L93" s="45">
        <f t="shared" si="28"/>
        <v>798.915</v>
      </c>
      <c r="M93" s="45">
        <f t="shared" si="29"/>
        <v>883.4475</v>
      </c>
      <c r="N93" s="45">
        <f t="shared" si="30"/>
        <v>1060.8</v>
      </c>
      <c r="O93" s="45">
        <f t="shared" si="31"/>
        <v>1441.11</v>
      </c>
      <c r="P93" s="45">
        <f t="shared" si="32"/>
        <v>1746.03</v>
      </c>
      <c r="Q93" s="45">
        <f t="shared" si="33"/>
        <v>1992.87</v>
      </c>
      <c r="R93" s="45">
        <f t="shared" si="34"/>
        <v>2379.465</v>
      </c>
    </row>
    <row r="94" spans="1:18" ht="12.75">
      <c r="A94" s="50">
        <v>13000</v>
      </c>
      <c r="B94" s="51">
        <v>1.55</v>
      </c>
      <c r="C94" s="51">
        <v>1.76</v>
      </c>
      <c r="D94" s="51">
        <v>1.97</v>
      </c>
      <c r="E94" s="51">
        <v>2.18</v>
      </c>
      <c r="F94" s="51">
        <v>2.39</v>
      </c>
      <c r="G94" s="48">
        <f t="shared" si="35"/>
        <v>91</v>
      </c>
      <c r="H94" s="45">
        <f t="shared" si="24"/>
        <v>126.945</v>
      </c>
      <c r="I94" s="45">
        <f t="shared" si="25"/>
        <v>315.744</v>
      </c>
      <c r="J94" s="45">
        <f t="shared" si="26"/>
        <v>576.225</v>
      </c>
      <c r="K94" s="45">
        <f t="shared" si="27"/>
        <v>656.1282000000001</v>
      </c>
      <c r="L94" s="45">
        <f t="shared" si="28"/>
        <v>819.5928000000001</v>
      </c>
      <c r="M94" s="45">
        <f t="shared" si="29"/>
        <v>906.3132</v>
      </c>
      <c r="N94" s="45">
        <f t="shared" si="30"/>
        <v>1088.2560000000003</v>
      </c>
      <c r="O94" s="45">
        <f t="shared" si="31"/>
        <v>1480.1748</v>
      </c>
      <c r="P94" s="45">
        <f t="shared" si="32"/>
        <v>1793.3604</v>
      </c>
      <c r="Q94" s="45">
        <f t="shared" si="33"/>
        <v>2046.8916</v>
      </c>
      <c r="R94" s="45">
        <f t="shared" si="34"/>
        <v>2443.9662</v>
      </c>
    </row>
    <row r="95" spans="1:18" ht="12.75">
      <c r="A95" s="50">
        <v>13500</v>
      </c>
      <c r="B95" s="51">
        <v>1.53</v>
      </c>
      <c r="C95" s="51">
        <v>1.74</v>
      </c>
      <c r="D95" s="51">
        <v>1.94</v>
      </c>
      <c r="E95" s="51">
        <v>2.15</v>
      </c>
      <c r="F95" s="51">
        <v>2.36</v>
      </c>
      <c r="G95" s="48">
        <f t="shared" si="35"/>
        <v>92</v>
      </c>
      <c r="H95" s="45">
        <f t="shared" si="24"/>
        <v>130.1265</v>
      </c>
      <c r="I95" s="45">
        <f t="shared" si="25"/>
        <v>324.16200000000003</v>
      </c>
      <c r="J95" s="45">
        <f t="shared" si="26"/>
        <v>589.275</v>
      </c>
      <c r="K95" s="45">
        <f t="shared" si="27"/>
        <v>670.9878</v>
      </c>
      <c r="L95" s="45">
        <f t="shared" si="28"/>
        <v>839.403</v>
      </c>
      <c r="M95" s="45">
        <f t="shared" si="29"/>
        <v>928.2194999999999</v>
      </c>
      <c r="N95" s="45">
        <f t="shared" si="30"/>
        <v>1114.56</v>
      </c>
      <c r="O95" s="45">
        <f t="shared" si="31"/>
        <v>1517.8104</v>
      </c>
      <c r="P95" s="45">
        <f t="shared" si="32"/>
        <v>1838.9592000000002</v>
      </c>
      <c r="Q95" s="45">
        <f t="shared" si="33"/>
        <v>2098.9368</v>
      </c>
      <c r="R95" s="45">
        <f t="shared" si="34"/>
        <v>2506.1076000000003</v>
      </c>
    </row>
    <row r="96" spans="1:18" ht="12.75">
      <c r="A96" s="50">
        <v>14000</v>
      </c>
      <c r="B96" s="51">
        <v>1.52</v>
      </c>
      <c r="C96" s="51">
        <v>1.72</v>
      </c>
      <c r="D96" s="51">
        <v>1.92</v>
      </c>
      <c r="E96" s="51">
        <v>2.12</v>
      </c>
      <c r="F96" s="51">
        <v>2.33</v>
      </c>
      <c r="G96" s="48">
        <f t="shared" si="35"/>
        <v>93</v>
      </c>
      <c r="H96" s="45">
        <f t="shared" si="24"/>
        <v>134.064</v>
      </c>
      <c r="I96" s="45">
        <f t="shared" si="25"/>
        <v>332.30400000000003</v>
      </c>
      <c r="J96" s="45">
        <f t="shared" si="26"/>
        <v>604.8</v>
      </c>
      <c r="K96" s="45">
        <f t="shared" si="27"/>
        <v>688.6655999999999</v>
      </c>
      <c r="L96" s="45">
        <f t="shared" si="28"/>
        <v>858.3456</v>
      </c>
      <c r="M96" s="45">
        <f t="shared" si="29"/>
        <v>949.1664</v>
      </c>
      <c r="N96" s="45">
        <f t="shared" si="30"/>
        <v>1139.712</v>
      </c>
      <c r="O96" s="45">
        <f t="shared" si="31"/>
        <v>1554.0167999999999</v>
      </c>
      <c r="P96" s="45">
        <f t="shared" si="32"/>
        <v>1882.8264000000001</v>
      </c>
      <c r="Q96" s="45">
        <f t="shared" si="33"/>
        <v>2149.0056</v>
      </c>
      <c r="R96" s="45">
        <f t="shared" si="34"/>
        <v>2565.8892</v>
      </c>
    </row>
    <row r="97" spans="1:18" ht="12.75">
      <c r="A97" s="50">
        <v>14500</v>
      </c>
      <c r="B97" s="51">
        <v>1.5</v>
      </c>
      <c r="C97" s="51">
        <v>1.7</v>
      </c>
      <c r="D97" s="51">
        <v>1.89</v>
      </c>
      <c r="E97" s="51">
        <v>2.09</v>
      </c>
      <c r="F97" s="51">
        <v>2.3</v>
      </c>
      <c r="G97" s="48">
        <f t="shared" si="35"/>
        <v>94</v>
      </c>
      <c r="H97" s="45">
        <f t="shared" si="24"/>
        <v>137.025</v>
      </c>
      <c r="I97" s="45">
        <f t="shared" si="25"/>
        <v>340.17</v>
      </c>
      <c r="J97" s="45">
        <f t="shared" si="26"/>
        <v>616.6125</v>
      </c>
      <c r="K97" s="45">
        <f t="shared" si="27"/>
        <v>702.1161</v>
      </c>
      <c r="L97" s="45">
        <f t="shared" si="28"/>
        <v>876.4205999999999</v>
      </c>
      <c r="M97" s="45">
        <f t="shared" si="29"/>
        <v>969.1538999999998</v>
      </c>
      <c r="N97" s="45">
        <f t="shared" si="30"/>
        <v>1163.7119999999998</v>
      </c>
      <c r="O97" s="45">
        <f t="shared" si="31"/>
        <v>1588.7939999999999</v>
      </c>
      <c r="P97" s="45">
        <f t="shared" si="32"/>
        <v>1924.9620000000002</v>
      </c>
      <c r="Q97" s="45">
        <f t="shared" si="33"/>
        <v>2197.098</v>
      </c>
      <c r="R97" s="45">
        <f t="shared" si="34"/>
        <v>2623.3109999999997</v>
      </c>
    </row>
    <row r="98" spans="1:18" ht="12.75">
      <c r="A98" s="50">
        <v>15000</v>
      </c>
      <c r="B98" s="51">
        <v>1.49</v>
      </c>
      <c r="C98" s="51">
        <v>1.68</v>
      </c>
      <c r="D98" s="51">
        <v>1.87</v>
      </c>
      <c r="E98" s="51">
        <v>2.07</v>
      </c>
      <c r="F98" s="51">
        <v>2.27</v>
      </c>
      <c r="G98" s="48">
        <f t="shared" si="35"/>
        <v>95</v>
      </c>
      <c r="H98" s="45">
        <f t="shared" si="24"/>
        <v>140.805</v>
      </c>
      <c r="I98" s="45">
        <f t="shared" si="25"/>
        <v>347.76</v>
      </c>
      <c r="J98" s="45">
        <f t="shared" si="26"/>
        <v>631.125</v>
      </c>
      <c r="K98" s="45">
        <f t="shared" si="27"/>
        <v>718.6410000000001</v>
      </c>
      <c r="L98" s="45">
        <f t="shared" si="28"/>
        <v>897.9659999999999</v>
      </c>
      <c r="M98" s="45">
        <f t="shared" si="29"/>
        <v>992.9789999999999</v>
      </c>
      <c r="N98" s="45">
        <f t="shared" si="30"/>
        <v>1192.32</v>
      </c>
      <c r="O98" s="45">
        <f t="shared" si="31"/>
        <v>1622.142</v>
      </c>
      <c r="P98" s="45">
        <f t="shared" si="32"/>
        <v>1965.366</v>
      </c>
      <c r="Q98" s="45">
        <f t="shared" si="33"/>
        <v>2243.214</v>
      </c>
      <c r="R98" s="45">
        <f t="shared" si="34"/>
        <v>2678.373</v>
      </c>
    </row>
    <row r="99" spans="1:18" ht="12.75">
      <c r="A99" s="50">
        <v>17500</v>
      </c>
      <c r="B99" s="51">
        <v>1.41</v>
      </c>
      <c r="C99" s="51">
        <v>1.58</v>
      </c>
      <c r="D99" s="51">
        <v>1.76</v>
      </c>
      <c r="E99" s="51">
        <v>1.94</v>
      </c>
      <c r="F99" s="51">
        <v>2.12</v>
      </c>
      <c r="G99" s="48">
        <f t="shared" si="35"/>
        <v>96</v>
      </c>
      <c r="H99" s="45">
        <f t="shared" si="24"/>
        <v>155.4525</v>
      </c>
      <c r="I99" s="45">
        <f t="shared" si="25"/>
        <v>381.57</v>
      </c>
      <c r="J99" s="45">
        <f t="shared" si="26"/>
        <v>693</v>
      </c>
      <c r="K99" s="45">
        <f t="shared" si="27"/>
        <v>789.096</v>
      </c>
      <c r="L99" s="45">
        <f t="shared" si="28"/>
        <v>981.8340000000001</v>
      </c>
      <c r="M99" s="45">
        <f t="shared" si="29"/>
        <v>1085.721</v>
      </c>
      <c r="N99" s="45">
        <f t="shared" si="30"/>
        <v>1303.68</v>
      </c>
      <c r="O99" s="45">
        <f t="shared" si="31"/>
        <v>1767.444</v>
      </c>
      <c r="P99" s="45">
        <f t="shared" si="32"/>
        <v>2141.4120000000003</v>
      </c>
      <c r="Q99" s="45">
        <f t="shared" si="33"/>
        <v>2444.148</v>
      </c>
      <c r="R99" s="45">
        <f t="shared" si="34"/>
        <v>2918.2860000000005</v>
      </c>
    </row>
    <row r="100" spans="1:18" ht="12.75">
      <c r="A100" s="50">
        <v>20000</v>
      </c>
      <c r="B100" s="51">
        <v>1.34</v>
      </c>
      <c r="C100" s="51">
        <v>1.51</v>
      </c>
      <c r="D100" s="51">
        <v>1.67</v>
      </c>
      <c r="E100" s="51">
        <v>1.84</v>
      </c>
      <c r="F100" s="51">
        <v>2</v>
      </c>
      <c r="G100" s="48">
        <f t="shared" si="35"/>
        <v>97</v>
      </c>
      <c r="H100" s="45">
        <f t="shared" si="24"/>
        <v>168.84</v>
      </c>
      <c r="I100" s="45">
        <f t="shared" si="25"/>
        <v>416.76</v>
      </c>
      <c r="J100" s="45">
        <f t="shared" si="26"/>
        <v>751.5</v>
      </c>
      <c r="K100" s="45">
        <f t="shared" si="27"/>
        <v>855.7080000000001</v>
      </c>
      <c r="L100" s="45">
        <f t="shared" si="28"/>
        <v>1064.256</v>
      </c>
      <c r="M100" s="45">
        <f t="shared" si="29"/>
        <v>1176.864</v>
      </c>
      <c r="N100" s="45">
        <f t="shared" si="30"/>
        <v>1413.12</v>
      </c>
      <c r="O100" s="45">
        <f t="shared" si="31"/>
        <v>1905.6</v>
      </c>
      <c r="P100" s="45">
        <f t="shared" si="32"/>
        <v>2308.8</v>
      </c>
      <c r="Q100" s="45">
        <f t="shared" si="33"/>
        <v>2635.2</v>
      </c>
      <c r="R100" s="45">
        <f t="shared" si="34"/>
        <v>3146.4</v>
      </c>
    </row>
    <row r="101" spans="1:18" ht="12.75">
      <c r="A101" s="50">
        <v>22500</v>
      </c>
      <c r="B101" s="51">
        <v>1.28</v>
      </c>
      <c r="C101" s="51">
        <v>1.43</v>
      </c>
      <c r="D101" s="51">
        <v>1.57</v>
      </c>
      <c r="E101" s="51">
        <v>1.73</v>
      </c>
      <c r="F101" s="51">
        <v>1.88</v>
      </c>
      <c r="G101" s="48">
        <f t="shared" si="35"/>
        <v>98</v>
      </c>
      <c r="H101" s="45">
        <f aca="true" t="shared" si="36" ref="H101:H125">$A101*$B101*H$2*$C$133*$J$134*$J$135*$J$136/100</f>
        <v>181.44</v>
      </c>
      <c r="I101" s="45">
        <f aca="true" t="shared" si="37" ref="I101:I125">$A101*$C101*$I$2*$C$133*$J$134*$J$135*$J$136/100</f>
        <v>444.015</v>
      </c>
      <c r="J101" s="45">
        <f aca="true" t="shared" si="38" ref="J101:J125">$A101*$D101*$J$2*$C$133*$J$134*$J$135*$J$136/100</f>
        <v>794.8125</v>
      </c>
      <c r="K101" s="45">
        <f aca="true" t="shared" si="39" ref="K101:K125">$A101*$D101*$K$2*$C$133*$J$134*$J$135*$J$136/100</f>
        <v>905.0265</v>
      </c>
      <c r="L101" s="45">
        <f aca="true" t="shared" si="40" ref="L101:L125">$A101*$E101*$L$2*$C$133*$J$134*$J$135*$J$136/100</f>
        <v>1125.711</v>
      </c>
      <c r="M101" s="45">
        <f aca="true" t="shared" si="41" ref="M101:M125">$A101*$E101*$M$2*$C$133*$J$134*$J$135*$J$136/100</f>
        <v>1244.8215</v>
      </c>
      <c r="N101" s="45">
        <f aca="true" t="shared" si="42" ref="N101:N125">$A101*$E101*$N$2*$C$133*$J$134*$J$135*$J$136/100</f>
        <v>1494.72</v>
      </c>
      <c r="O101" s="45">
        <f aca="true" t="shared" si="43" ref="O101:O125">$A101*$F101*$O$2*$C$133*$J$134*$J$135*$J$136/100</f>
        <v>2015.172</v>
      </c>
      <c r="P101" s="45">
        <f aca="true" t="shared" si="44" ref="P101:P125">$A101*$F101*$P$2*$C$133*$J$134*$J$135*$J$136/100</f>
        <v>2441.556</v>
      </c>
      <c r="Q101" s="45">
        <f aca="true" t="shared" si="45" ref="Q101:Q125">$A101*$F101*$Q$2*$C$133*$J$134*$J$135*$J$136/100</f>
        <v>2786.724</v>
      </c>
      <c r="R101" s="45">
        <f aca="true" t="shared" si="46" ref="R101:R125">$A101*$F101*$R$2*$C$133*$J$134*$J$135*$J$136/100</f>
        <v>3327.3179999999998</v>
      </c>
    </row>
    <row r="102" spans="1:18" ht="12.75">
      <c r="A102" s="50">
        <v>25000</v>
      </c>
      <c r="B102" s="51">
        <v>1.22</v>
      </c>
      <c r="C102" s="51">
        <v>1.35</v>
      </c>
      <c r="D102" s="51">
        <v>1.5</v>
      </c>
      <c r="E102" s="51">
        <v>1.64</v>
      </c>
      <c r="F102" s="51">
        <v>1.79</v>
      </c>
      <c r="G102" s="48">
        <f aca="true" t="shared" si="47" ref="G102:G125">G101+1</f>
        <v>99</v>
      </c>
      <c r="H102" s="45">
        <f t="shared" si="36"/>
        <v>192.15</v>
      </c>
      <c r="I102" s="45">
        <f t="shared" si="37"/>
        <v>465.75</v>
      </c>
      <c r="J102" s="45">
        <f t="shared" si="38"/>
        <v>843.75</v>
      </c>
      <c r="K102" s="45">
        <f t="shared" si="39"/>
        <v>960.75</v>
      </c>
      <c r="L102" s="45">
        <f t="shared" si="40"/>
        <v>1185.72</v>
      </c>
      <c r="M102" s="45">
        <f t="shared" si="41"/>
        <v>1311.18</v>
      </c>
      <c r="N102" s="45">
        <f t="shared" si="42"/>
        <v>1574.4</v>
      </c>
      <c r="O102" s="45">
        <f t="shared" si="43"/>
        <v>2131.89</v>
      </c>
      <c r="P102" s="45">
        <f t="shared" si="44"/>
        <v>2582.97</v>
      </c>
      <c r="Q102" s="45">
        <f t="shared" si="45"/>
        <v>2948.13</v>
      </c>
      <c r="R102" s="45">
        <f t="shared" si="46"/>
        <v>3520.035</v>
      </c>
    </row>
    <row r="103" spans="1:18" ht="12.75">
      <c r="A103" s="50">
        <v>27500</v>
      </c>
      <c r="B103" s="51">
        <v>1.16</v>
      </c>
      <c r="C103" s="51">
        <v>1.29</v>
      </c>
      <c r="D103" s="51">
        <v>1.42</v>
      </c>
      <c r="E103" s="51">
        <v>1.55</v>
      </c>
      <c r="F103" s="51">
        <v>1.68</v>
      </c>
      <c r="G103" s="48">
        <f t="shared" si="47"/>
        <v>100</v>
      </c>
      <c r="H103" s="45">
        <f t="shared" si="36"/>
        <v>200.96999999999997</v>
      </c>
      <c r="I103" s="45">
        <f t="shared" si="37"/>
        <v>489.555</v>
      </c>
      <c r="J103" s="45">
        <f t="shared" si="38"/>
        <v>878.625</v>
      </c>
      <c r="K103" s="45">
        <f t="shared" si="39"/>
        <v>1000.461</v>
      </c>
      <c r="L103" s="45">
        <f t="shared" si="40"/>
        <v>1232.715</v>
      </c>
      <c r="M103" s="45">
        <f t="shared" si="41"/>
        <v>1363.1475</v>
      </c>
      <c r="N103" s="45">
        <f t="shared" si="42"/>
        <v>1636.8</v>
      </c>
      <c r="O103" s="45">
        <f t="shared" si="43"/>
        <v>2200.9680000000003</v>
      </c>
      <c r="P103" s="45">
        <f t="shared" si="44"/>
        <v>2666.664</v>
      </c>
      <c r="Q103" s="45">
        <f t="shared" si="45"/>
        <v>3043.6560000000004</v>
      </c>
      <c r="R103" s="45">
        <f t="shared" si="46"/>
        <v>3634.092</v>
      </c>
    </row>
    <row r="104" spans="1:18" ht="12.75">
      <c r="A104" s="50">
        <v>30000</v>
      </c>
      <c r="B104" s="51">
        <v>1.1</v>
      </c>
      <c r="C104" s="51">
        <v>1.22</v>
      </c>
      <c r="D104" s="51">
        <v>1.35</v>
      </c>
      <c r="E104" s="51">
        <v>1.47</v>
      </c>
      <c r="F104" s="51">
        <v>1.61</v>
      </c>
      <c r="G104" s="48">
        <f t="shared" si="47"/>
        <v>101</v>
      </c>
      <c r="H104" s="45">
        <f t="shared" si="36"/>
        <v>207.9</v>
      </c>
      <c r="I104" s="45">
        <f t="shared" si="37"/>
        <v>505.08</v>
      </c>
      <c r="J104" s="45">
        <f t="shared" si="38"/>
        <v>911.25</v>
      </c>
      <c r="K104" s="45">
        <f t="shared" si="39"/>
        <v>1037.61</v>
      </c>
      <c r="L104" s="45">
        <f t="shared" si="40"/>
        <v>1275.372</v>
      </c>
      <c r="M104" s="45">
        <f t="shared" si="41"/>
        <v>1410.3180000000002</v>
      </c>
      <c r="N104" s="45">
        <f t="shared" si="42"/>
        <v>1693.44</v>
      </c>
      <c r="O104" s="45">
        <f t="shared" si="43"/>
        <v>2301.012</v>
      </c>
      <c r="P104" s="45">
        <f t="shared" si="44"/>
        <v>2787.8759999999997</v>
      </c>
      <c r="Q104" s="45">
        <f t="shared" si="45"/>
        <v>3182.0040000000004</v>
      </c>
      <c r="R104" s="45">
        <f t="shared" si="46"/>
        <v>3799.278</v>
      </c>
    </row>
    <row r="105" spans="1:18" ht="12.75">
      <c r="A105" s="50">
        <v>32500</v>
      </c>
      <c r="B105" s="51">
        <v>1.05</v>
      </c>
      <c r="C105" s="51">
        <v>1.18</v>
      </c>
      <c r="D105" s="51">
        <v>1.31</v>
      </c>
      <c r="E105" s="51">
        <v>1.44</v>
      </c>
      <c r="F105" s="51">
        <v>1.57</v>
      </c>
      <c r="G105" s="48">
        <f t="shared" si="47"/>
        <v>102</v>
      </c>
      <c r="H105" s="45">
        <f t="shared" si="36"/>
        <v>214.9875</v>
      </c>
      <c r="I105" s="45">
        <f t="shared" si="37"/>
        <v>529.23</v>
      </c>
      <c r="J105" s="45">
        <f t="shared" si="38"/>
        <v>957.9375</v>
      </c>
      <c r="K105" s="45">
        <f t="shared" si="39"/>
        <v>1090.7715</v>
      </c>
      <c r="L105" s="45">
        <f t="shared" si="40"/>
        <v>1353.4560000000001</v>
      </c>
      <c r="M105" s="45">
        <f t="shared" si="41"/>
        <v>1496.664</v>
      </c>
      <c r="N105" s="45">
        <f t="shared" si="42"/>
        <v>1797.12</v>
      </c>
      <c r="O105" s="45">
        <f t="shared" si="43"/>
        <v>2430.831</v>
      </c>
      <c r="P105" s="45">
        <f t="shared" si="44"/>
        <v>2945.163</v>
      </c>
      <c r="Q105" s="45">
        <f t="shared" si="45"/>
        <v>3361.527</v>
      </c>
      <c r="R105" s="45">
        <f t="shared" si="46"/>
        <v>4013.6265000000003</v>
      </c>
    </row>
    <row r="106" spans="1:18" ht="12.75">
      <c r="A106" s="50">
        <v>35000</v>
      </c>
      <c r="B106" s="51">
        <v>1.01</v>
      </c>
      <c r="C106" s="51">
        <v>1.14</v>
      </c>
      <c r="D106" s="51">
        <v>1.26</v>
      </c>
      <c r="E106" s="51">
        <v>1.39</v>
      </c>
      <c r="F106" s="51">
        <v>1.51</v>
      </c>
      <c r="G106" s="48">
        <f t="shared" si="47"/>
        <v>103</v>
      </c>
      <c r="H106" s="45">
        <f t="shared" si="36"/>
        <v>222.705</v>
      </c>
      <c r="I106" s="45">
        <f t="shared" si="37"/>
        <v>550.62</v>
      </c>
      <c r="J106" s="45">
        <f t="shared" si="38"/>
        <v>992.25</v>
      </c>
      <c r="K106" s="45">
        <f t="shared" si="39"/>
        <v>1129.8419999999999</v>
      </c>
      <c r="L106" s="45">
        <f t="shared" si="40"/>
        <v>1406.958</v>
      </c>
      <c r="M106" s="45">
        <f t="shared" si="41"/>
        <v>1555.8270000000002</v>
      </c>
      <c r="N106" s="45">
        <f t="shared" si="42"/>
        <v>1868.16</v>
      </c>
      <c r="O106" s="45">
        <f t="shared" si="43"/>
        <v>2517.774</v>
      </c>
      <c r="P106" s="45">
        <f t="shared" si="44"/>
        <v>3050.502</v>
      </c>
      <c r="Q106" s="45">
        <f t="shared" si="45"/>
        <v>3481.758</v>
      </c>
      <c r="R106" s="45">
        <f t="shared" si="46"/>
        <v>4157.1810000000005</v>
      </c>
    </row>
    <row r="107" spans="1:18" ht="12.75">
      <c r="A107" s="50">
        <v>37500</v>
      </c>
      <c r="B107" s="51">
        <v>0.98</v>
      </c>
      <c r="C107" s="51">
        <v>1.1</v>
      </c>
      <c r="D107" s="51">
        <v>1.22</v>
      </c>
      <c r="E107" s="51">
        <v>1.34</v>
      </c>
      <c r="F107" s="51">
        <v>1.46</v>
      </c>
      <c r="G107" s="48">
        <f t="shared" si="47"/>
        <v>104</v>
      </c>
      <c r="H107" s="45">
        <f t="shared" si="36"/>
        <v>231.525</v>
      </c>
      <c r="I107" s="45">
        <f t="shared" si="37"/>
        <v>569.25</v>
      </c>
      <c r="J107" s="45">
        <f t="shared" si="38"/>
        <v>1029.375</v>
      </c>
      <c r="K107" s="45">
        <f t="shared" si="39"/>
        <v>1172.115</v>
      </c>
      <c r="L107" s="45">
        <f t="shared" si="40"/>
        <v>1453.23</v>
      </c>
      <c r="M107" s="45">
        <f t="shared" si="41"/>
        <v>1606.995</v>
      </c>
      <c r="N107" s="45">
        <f t="shared" si="42"/>
        <v>1929.6</v>
      </c>
      <c r="O107" s="45">
        <f t="shared" si="43"/>
        <v>2608.29</v>
      </c>
      <c r="P107" s="45">
        <f t="shared" si="44"/>
        <v>3160.17</v>
      </c>
      <c r="Q107" s="45">
        <f t="shared" si="45"/>
        <v>3606.93</v>
      </c>
      <c r="R107" s="45">
        <f t="shared" si="46"/>
        <v>4306.635</v>
      </c>
    </row>
    <row r="108" spans="1:18" ht="12.75">
      <c r="A108" s="50">
        <v>40000</v>
      </c>
      <c r="B108" s="51">
        <v>0.95</v>
      </c>
      <c r="C108" s="51">
        <v>1.07</v>
      </c>
      <c r="D108" s="51">
        <v>1.18</v>
      </c>
      <c r="E108" s="51">
        <v>1.3</v>
      </c>
      <c r="F108" s="51">
        <v>1.41</v>
      </c>
      <c r="G108" s="48">
        <f t="shared" si="47"/>
        <v>105</v>
      </c>
      <c r="H108" s="45">
        <f t="shared" si="36"/>
        <v>239.4</v>
      </c>
      <c r="I108" s="45">
        <f t="shared" si="37"/>
        <v>590.64</v>
      </c>
      <c r="J108" s="45">
        <f t="shared" si="38"/>
        <v>1062</v>
      </c>
      <c r="K108" s="45">
        <f t="shared" si="39"/>
        <v>1209.2640000000001</v>
      </c>
      <c r="L108" s="45">
        <f t="shared" si="40"/>
        <v>1503.84</v>
      </c>
      <c r="M108" s="45">
        <f t="shared" si="41"/>
        <v>1662.96</v>
      </c>
      <c r="N108" s="45">
        <f t="shared" si="42"/>
        <v>1996.8</v>
      </c>
      <c r="O108" s="45">
        <f t="shared" si="43"/>
        <v>2686.8959999999997</v>
      </c>
      <c r="P108" s="45">
        <f t="shared" si="44"/>
        <v>3255.408</v>
      </c>
      <c r="Q108" s="45">
        <f t="shared" si="45"/>
        <v>3715.632</v>
      </c>
      <c r="R108" s="45">
        <f t="shared" si="46"/>
        <v>4436.424</v>
      </c>
    </row>
    <row r="109" spans="1:18" ht="12.75">
      <c r="A109" s="50">
        <v>42500</v>
      </c>
      <c r="B109" s="51">
        <v>0.92</v>
      </c>
      <c r="C109" s="51">
        <v>1.04</v>
      </c>
      <c r="D109" s="51">
        <v>1.15</v>
      </c>
      <c r="E109" s="51">
        <v>1.26</v>
      </c>
      <c r="F109" s="51">
        <v>1.37</v>
      </c>
      <c r="G109" s="48">
        <f t="shared" si="47"/>
        <v>106</v>
      </c>
      <c r="H109" s="45">
        <f t="shared" si="36"/>
        <v>246.33</v>
      </c>
      <c r="I109" s="45">
        <f t="shared" si="37"/>
        <v>609.96</v>
      </c>
      <c r="J109" s="45">
        <f t="shared" si="38"/>
        <v>1099.6874999999998</v>
      </c>
      <c r="K109" s="45">
        <f t="shared" si="39"/>
        <v>1252.1774999999998</v>
      </c>
      <c r="L109" s="45">
        <f t="shared" si="40"/>
        <v>1548.6660000000002</v>
      </c>
      <c r="M109" s="45">
        <f t="shared" si="41"/>
        <v>1712.529</v>
      </c>
      <c r="N109" s="45">
        <f t="shared" si="42"/>
        <v>2056.32</v>
      </c>
      <c r="O109" s="45">
        <f t="shared" si="43"/>
        <v>2773.8390000000004</v>
      </c>
      <c r="P109" s="45">
        <f t="shared" si="44"/>
        <v>3360.7470000000008</v>
      </c>
      <c r="Q109" s="45">
        <f t="shared" si="45"/>
        <v>3835.8630000000003</v>
      </c>
      <c r="R109" s="45">
        <f t="shared" si="46"/>
        <v>4579.978500000001</v>
      </c>
    </row>
    <row r="110" spans="1:18" ht="12.75">
      <c r="A110" s="50">
        <v>45000</v>
      </c>
      <c r="B110" s="51">
        <v>0.89</v>
      </c>
      <c r="C110" s="51">
        <v>1.01</v>
      </c>
      <c r="D110" s="51">
        <v>1.11</v>
      </c>
      <c r="E110" s="51">
        <v>1.23</v>
      </c>
      <c r="F110" s="51">
        <v>1.33</v>
      </c>
      <c r="G110" s="48">
        <f t="shared" si="47"/>
        <v>107</v>
      </c>
      <c r="H110" s="45">
        <f t="shared" si="36"/>
        <v>252.315</v>
      </c>
      <c r="I110" s="45">
        <f t="shared" si="37"/>
        <v>627.21</v>
      </c>
      <c r="J110" s="45">
        <f t="shared" si="38"/>
        <v>1123.8750000000002</v>
      </c>
      <c r="K110" s="45">
        <f t="shared" si="39"/>
        <v>1279.7190000000003</v>
      </c>
      <c r="L110" s="45">
        <f t="shared" si="40"/>
        <v>1600.7220000000002</v>
      </c>
      <c r="M110" s="45">
        <f t="shared" si="41"/>
        <v>1770.093</v>
      </c>
      <c r="N110" s="45">
        <f t="shared" si="42"/>
        <v>2125.44</v>
      </c>
      <c r="O110" s="45">
        <f t="shared" si="43"/>
        <v>2851.2540000000004</v>
      </c>
      <c r="P110" s="45">
        <f t="shared" si="44"/>
        <v>3454.542</v>
      </c>
      <c r="Q110" s="45">
        <f t="shared" si="45"/>
        <v>3942.9179999999997</v>
      </c>
      <c r="R110" s="45">
        <f t="shared" si="46"/>
        <v>4707.801</v>
      </c>
    </row>
    <row r="111" spans="1:18" ht="12.75">
      <c r="A111" s="50">
        <v>47500</v>
      </c>
      <c r="B111" s="51">
        <v>0.87</v>
      </c>
      <c r="C111" s="51">
        <v>0.98</v>
      </c>
      <c r="D111" s="51">
        <v>1.08</v>
      </c>
      <c r="E111" s="51">
        <v>1.19</v>
      </c>
      <c r="F111" s="51">
        <v>1.3</v>
      </c>
      <c r="G111" s="48">
        <f t="shared" si="47"/>
        <v>108</v>
      </c>
      <c r="H111" s="45">
        <f t="shared" si="36"/>
        <v>260.3475</v>
      </c>
      <c r="I111" s="45">
        <f t="shared" si="37"/>
        <v>642.39</v>
      </c>
      <c r="J111" s="45">
        <f t="shared" si="38"/>
        <v>1154.25</v>
      </c>
      <c r="K111" s="45">
        <f t="shared" si="39"/>
        <v>1314.306</v>
      </c>
      <c r="L111" s="45">
        <f t="shared" si="40"/>
        <v>1634.7030000000002</v>
      </c>
      <c r="M111" s="45">
        <f t="shared" si="41"/>
        <v>1807.6695000000002</v>
      </c>
      <c r="N111" s="45">
        <f t="shared" si="42"/>
        <v>2170.56</v>
      </c>
      <c r="O111" s="45">
        <f t="shared" si="43"/>
        <v>2941.77</v>
      </c>
      <c r="P111" s="45">
        <f t="shared" si="44"/>
        <v>3564.21</v>
      </c>
      <c r="Q111" s="45">
        <f t="shared" si="45"/>
        <v>4068.09</v>
      </c>
      <c r="R111" s="45">
        <f t="shared" si="46"/>
        <v>4857.255</v>
      </c>
    </row>
    <row r="112" spans="1:18" ht="12.75">
      <c r="A112" s="50">
        <v>50000</v>
      </c>
      <c r="B112" s="51">
        <v>0.85</v>
      </c>
      <c r="C112" s="51">
        <v>0.96</v>
      </c>
      <c r="D112" s="51">
        <v>1.05</v>
      </c>
      <c r="E112" s="51">
        <v>1.16</v>
      </c>
      <c r="F112" s="51">
        <v>1.26</v>
      </c>
      <c r="G112" s="48">
        <f t="shared" si="47"/>
        <v>109</v>
      </c>
      <c r="H112" s="45">
        <f t="shared" si="36"/>
        <v>267.75</v>
      </c>
      <c r="I112" s="45">
        <f t="shared" si="37"/>
        <v>662.4</v>
      </c>
      <c r="J112" s="45">
        <f t="shared" si="38"/>
        <v>1181.25</v>
      </c>
      <c r="K112" s="45">
        <f t="shared" si="39"/>
        <v>1345.05</v>
      </c>
      <c r="L112" s="45">
        <f t="shared" si="40"/>
        <v>1677.3599999999997</v>
      </c>
      <c r="M112" s="45">
        <f t="shared" si="41"/>
        <v>1854.8399999999997</v>
      </c>
      <c r="N112" s="45">
        <f t="shared" si="42"/>
        <v>2227.2</v>
      </c>
      <c r="O112" s="45">
        <f t="shared" si="43"/>
        <v>3001.32</v>
      </c>
      <c r="P112" s="45">
        <f t="shared" si="44"/>
        <v>3636.36</v>
      </c>
      <c r="Q112" s="45">
        <f t="shared" si="45"/>
        <v>4150.44</v>
      </c>
      <c r="R112" s="45">
        <f t="shared" si="46"/>
        <v>4955.58</v>
      </c>
    </row>
    <row r="113" spans="1:18" ht="12.75">
      <c r="A113" s="50">
        <v>52500</v>
      </c>
      <c r="B113" s="51">
        <v>0.83</v>
      </c>
      <c r="C113" s="51">
        <v>0.93</v>
      </c>
      <c r="D113" s="51">
        <v>1.03</v>
      </c>
      <c r="E113" s="51">
        <v>1.14</v>
      </c>
      <c r="F113" s="51">
        <v>1.23</v>
      </c>
      <c r="G113" s="48">
        <f t="shared" si="47"/>
        <v>110</v>
      </c>
      <c r="H113" s="45">
        <f t="shared" si="36"/>
        <v>274.5225</v>
      </c>
      <c r="I113" s="45">
        <f t="shared" si="37"/>
        <v>673.785</v>
      </c>
      <c r="J113" s="45">
        <f t="shared" si="38"/>
        <v>1216.6875</v>
      </c>
      <c r="K113" s="45">
        <f t="shared" si="39"/>
        <v>1385.4015</v>
      </c>
      <c r="L113" s="45">
        <f t="shared" si="40"/>
        <v>1730.8619999999999</v>
      </c>
      <c r="M113" s="45">
        <f t="shared" si="41"/>
        <v>1914.003</v>
      </c>
      <c r="N113" s="45">
        <f t="shared" si="42"/>
        <v>2298.24</v>
      </c>
      <c r="O113" s="45">
        <f t="shared" si="43"/>
        <v>3076.353</v>
      </c>
      <c r="P113" s="45">
        <f t="shared" si="44"/>
        <v>3727.2690000000002</v>
      </c>
      <c r="Q113" s="45">
        <f t="shared" si="45"/>
        <v>4254.201</v>
      </c>
      <c r="R113" s="45">
        <f t="shared" si="46"/>
        <v>5079.4695</v>
      </c>
    </row>
    <row r="114" spans="1:18" ht="12.75">
      <c r="A114" s="50">
        <v>55000</v>
      </c>
      <c r="B114" s="51">
        <v>0.81</v>
      </c>
      <c r="C114" s="51">
        <v>0.91</v>
      </c>
      <c r="D114" s="51">
        <v>1</v>
      </c>
      <c r="E114" s="51">
        <v>1.11</v>
      </c>
      <c r="F114" s="51">
        <v>1.2</v>
      </c>
      <c r="G114" s="48">
        <f t="shared" si="47"/>
        <v>111</v>
      </c>
      <c r="H114" s="45">
        <f t="shared" si="36"/>
        <v>280.665</v>
      </c>
      <c r="I114" s="45">
        <f t="shared" si="37"/>
        <v>690.69</v>
      </c>
      <c r="J114" s="45">
        <f t="shared" si="38"/>
        <v>1237.5</v>
      </c>
      <c r="K114" s="45">
        <f t="shared" si="39"/>
        <v>1409.1</v>
      </c>
      <c r="L114" s="45">
        <f t="shared" si="40"/>
        <v>1765.5660000000003</v>
      </c>
      <c r="M114" s="45">
        <f t="shared" si="41"/>
        <v>1952.3790000000001</v>
      </c>
      <c r="N114" s="45">
        <f t="shared" si="42"/>
        <v>2344.3200000000006</v>
      </c>
      <c r="O114" s="45">
        <f t="shared" si="43"/>
        <v>3144.24</v>
      </c>
      <c r="P114" s="45">
        <f t="shared" si="44"/>
        <v>3809.52</v>
      </c>
      <c r="Q114" s="45">
        <f t="shared" si="45"/>
        <v>4348.08</v>
      </c>
      <c r="R114" s="45">
        <f t="shared" si="46"/>
        <v>5191.56</v>
      </c>
    </row>
    <row r="115" spans="1:18" ht="12.75">
      <c r="A115" s="50">
        <v>57500</v>
      </c>
      <c r="B115" s="51">
        <v>0.79</v>
      </c>
      <c r="C115" s="51">
        <v>0.89</v>
      </c>
      <c r="D115" s="51">
        <v>0.98</v>
      </c>
      <c r="E115" s="51">
        <v>1.09</v>
      </c>
      <c r="F115" s="51">
        <v>1.18</v>
      </c>
      <c r="G115" s="48">
        <f t="shared" si="47"/>
        <v>112</v>
      </c>
      <c r="H115" s="45">
        <f t="shared" si="36"/>
        <v>286.1775</v>
      </c>
      <c r="I115" s="45">
        <f t="shared" si="37"/>
        <v>706.215</v>
      </c>
      <c r="J115" s="45">
        <f t="shared" si="38"/>
        <v>1267.875</v>
      </c>
      <c r="K115" s="45">
        <f t="shared" si="39"/>
        <v>1443.6870000000001</v>
      </c>
      <c r="L115" s="45">
        <f t="shared" si="40"/>
        <v>1812.5610000000004</v>
      </c>
      <c r="M115" s="45">
        <f t="shared" si="41"/>
        <v>2004.3465000000003</v>
      </c>
      <c r="N115" s="45">
        <f t="shared" si="42"/>
        <v>2406.7200000000007</v>
      </c>
      <c r="O115" s="45">
        <f t="shared" si="43"/>
        <v>3232.3740000000003</v>
      </c>
      <c r="P115" s="45">
        <f t="shared" si="44"/>
        <v>3916.302</v>
      </c>
      <c r="Q115" s="45">
        <f t="shared" si="45"/>
        <v>4469.958</v>
      </c>
      <c r="R115" s="45">
        <f t="shared" si="46"/>
        <v>5337.081</v>
      </c>
    </row>
    <row r="116" spans="1:18" ht="12.75">
      <c r="A116" s="50">
        <v>60000</v>
      </c>
      <c r="B116" s="51">
        <v>0.77</v>
      </c>
      <c r="C116" s="51">
        <v>0.87</v>
      </c>
      <c r="D116" s="51">
        <v>0.96</v>
      </c>
      <c r="E116" s="51">
        <v>1.05</v>
      </c>
      <c r="F116" s="51">
        <v>1.15</v>
      </c>
      <c r="G116" s="48">
        <f t="shared" si="47"/>
        <v>113</v>
      </c>
      <c r="H116" s="45">
        <f t="shared" si="36"/>
        <v>291.06</v>
      </c>
      <c r="I116" s="45">
        <f t="shared" si="37"/>
        <v>720.36</v>
      </c>
      <c r="J116" s="45">
        <f t="shared" si="38"/>
        <v>1296</v>
      </c>
      <c r="K116" s="45">
        <f t="shared" si="39"/>
        <v>1475.7120000000002</v>
      </c>
      <c r="L116" s="45">
        <f t="shared" si="40"/>
        <v>1821.96</v>
      </c>
      <c r="M116" s="45">
        <f t="shared" si="41"/>
        <v>2014.74</v>
      </c>
      <c r="N116" s="45">
        <f t="shared" si="42"/>
        <v>2419.2</v>
      </c>
      <c r="O116" s="45">
        <f t="shared" si="43"/>
        <v>3287.16</v>
      </c>
      <c r="P116" s="45">
        <f t="shared" si="44"/>
        <v>3982.68</v>
      </c>
      <c r="Q116" s="45">
        <f t="shared" si="45"/>
        <v>4545.72</v>
      </c>
      <c r="R116" s="45">
        <f t="shared" si="46"/>
        <v>5427.54</v>
      </c>
    </row>
    <row r="117" spans="1:18" ht="12.75">
      <c r="A117" s="50">
        <v>62500</v>
      </c>
      <c r="B117" s="51">
        <v>0.76</v>
      </c>
      <c r="C117" s="51">
        <v>0.85</v>
      </c>
      <c r="D117" s="51">
        <v>0.94</v>
      </c>
      <c r="E117" s="51">
        <v>1.04</v>
      </c>
      <c r="F117" s="51">
        <v>1.13</v>
      </c>
      <c r="G117" s="48">
        <f t="shared" si="47"/>
        <v>114</v>
      </c>
      <c r="H117" s="45">
        <f t="shared" si="36"/>
        <v>299.25</v>
      </c>
      <c r="I117" s="45">
        <f t="shared" si="37"/>
        <v>733.125</v>
      </c>
      <c r="J117" s="45">
        <f t="shared" si="38"/>
        <v>1321.875</v>
      </c>
      <c r="K117" s="45">
        <f t="shared" si="39"/>
        <v>1505.175</v>
      </c>
      <c r="L117" s="45">
        <f t="shared" si="40"/>
        <v>1879.8</v>
      </c>
      <c r="M117" s="45">
        <f t="shared" si="41"/>
        <v>2078.7</v>
      </c>
      <c r="N117" s="45">
        <f t="shared" si="42"/>
        <v>2496</v>
      </c>
      <c r="O117" s="45">
        <f t="shared" si="43"/>
        <v>3364.575</v>
      </c>
      <c r="P117" s="45">
        <f t="shared" si="44"/>
        <v>4076.475</v>
      </c>
      <c r="Q117" s="45">
        <f t="shared" si="45"/>
        <v>4652.775</v>
      </c>
      <c r="R117" s="45">
        <f t="shared" si="46"/>
        <v>5555.3625</v>
      </c>
    </row>
    <row r="118" spans="1:18" ht="12.75">
      <c r="A118" s="50">
        <v>65000</v>
      </c>
      <c r="B118" s="51">
        <v>0.74</v>
      </c>
      <c r="C118" s="51">
        <v>0.84</v>
      </c>
      <c r="D118" s="51">
        <v>0.93</v>
      </c>
      <c r="E118" s="51">
        <v>1.02</v>
      </c>
      <c r="F118" s="51">
        <v>1.11</v>
      </c>
      <c r="G118" s="48">
        <f t="shared" si="47"/>
        <v>115</v>
      </c>
      <c r="H118" s="45">
        <f t="shared" si="36"/>
        <v>303.03</v>
      </c>
      <c r="I118" s="45">
        <f t="shared" si="37"/>
        <v>753.48</v>
      </c>
      <c r="J118" s="45">
        <f t="shared" si="38"/>
        <v>1360.125</v>
      </c>
      <c r="K118" s="45">
        <f t="shared" si="39"/>
        <v>1548.729</v>
      </c>
      <c r="L118" s="45">
        <f t="shared" si="40"/>
        <v>1917.396</v>
      </c>
      <c r="M118" s="45">
        <f t="shared" si="41"/>
        <v>2120.274</v>
      </c>
      <c r="N118" s="45">
        <f t="shared" si="42"/>
        <v>2545.92</v>
      </c>
      <c r="O118" s="45">
        <f t="shared" si="43"/>
        <v>3437.2260000000006</v>
      </c>
      <c r="P118" s="45">
        <f t="shared" si="44"/>
        <v>4164.498</v>
      </c>
      <c r="Q118" s="45">
        <f t="shared" si="45"/>
        <v>4753.242</v>
      </c>
      <c r="R118" s="45">
        <f t="shared" si="46"/>
        <v>5675.319</v>
      </c>
    </row>
    <row r="119" spans="1:18" ht="12.75">
      <c r="A119" s="50">
        <v>67500</v>
      </c>
      <c r="B119" s="51">
        <v>0.73</v>
      </c>
      <c r="C119" s="51">
        <v>0.82</v>
      </c>
      <c r="D119" s="51">
        <v>0.91</v>
      </c>
      <c r="E119" s="51">
        <v>1</v>
      </c>
      <c r="F119" s="51">
        <v>1.09</v>
      </c>
      <c r="G119" s="48">
        <f t="shared" si="47"/>
        <v>116</v>
      </c>
      <c r="H119" s="45">
        <f t="shared" si="36"/>
        <v>310.4325</v>
      </c>
      <c r="I119" s="45">
        <f t="shared" si="37"/>
        <v>763.83</v>
      </c>
      <c r="J119" s="45">
        <f t="shared" si="38"/>
        <v>1382.0625</v>
      </c>
      <c r="K119" s="45">
        <f t="shared" si="39"/>
        <v>1573.7085</v>
      </c>
      <c r="L119" s="45">
        <f t="shared" si="40"/>
        <v>1952.1</v>
      </c>
      <c r="M119" s="45">
        <f t="shared" si="41"/>
        <v>2158.65</v>
      </c>
      <c r="N119" s="45">
        <f t="shared" si="42"/>
        <v>2592</v>
      </c>
      <c r="O119" s="45">
        <f t="shared" si="43"/>
        <v>3505.113</v>
      </c>
      <c r="P119" s="45">
        <f t="shared" si="44"/>
        <v>4246.749</v>
      </c>
      <c r="Q119" s="45">
        <f t="shared" si="45"/>
        <v>4847.121</v>
      </c>
      <c r="R119" s="45">
        <f t="shared" si="46"/>
        <v>5787.409500000001</v>
      </c>
    </row>
    <row r="120" spans="1:18" ht="12.75">
      <c r="A120" s="50">
        <v>70000</v>
      </c>
      <c r="B120" s="51">
        <v>0.72</v>
      </c>
      <c r="C120" s="51">
        <v>0.81</v>
      </c>
      <c r="D120" s="51">
        <v>0.89</v>
      </c>
      <c r="E120" s="51">
        <v>0.98</v>
      </c>
      <c r="F120" s="51">
        <v>1.07</v>
      </c>
      <c r="G120" s="48">
        <f t="shared" si="47"/>
        <v>117</v>
      </c>
      <c r="H120" s="45">
        <f t="shared" si="36"/>
        <v>317.52</v>
      </c>
      <c r="I120" s="45">
        <f t="shared" si="37"/>
        <v>782.4600000000002</v>
      </c>
      <c r="J120" s="45">
        <f t="shared" si="38"/>
        <v>1401.75</v>
      </c>
      <c r="K120" s="45">
        <f t="shared" si="39"/>
        <v>1596.126</v>
      </c>
      <c r="L120" s="45">
        <f t="shared" si="40"/>
        <v>1983.912</v>
      </c>
      <c r="M120" s="45">
        <f t="shared" si="41"/>
        <v>2193.828</v>
      </c>
      <c r="N120" s="45">
        <f t="shared" si="42"/>
        <v>2634.24</v>
      </c>
      <c r="O120" s="45">
        <f t="shared" si="43"/>
        <v>3568.2360000000003</v>
      </c>
      <c r="P120" s="45">
        <f t="shared" si="44"/>
        <v>4323.228</v>
      </c>
      <c r="Q120" s="45">
        <f t="shared" si="45"/>
        <v>4934.412</v>
      </c>
      <c r="R120" s="45">
        <f t="shared" si="46"/>
        <v>5891.634</v>
      </c>
    </row>
    <row r="121" spans="1:18" ht="12.75">
      <c r="A121" s="50">
        <v>72500</v>
      </c>
      <c r="B121" s="51">
        <v>0.7</v>
      </c>
      <c r="C121" s="51">
        <v>0.79</v>
      </c>
      <c r="D121" s="51">
        <v>0.88</v>
      </c>
      <c r="E121" s="51">
        <v>0.97</v>
      </c>
      <c r="F121" s="51">
        <v>1.05</v>
      </c>
      <c r="G121" s="48">
        <f t="shared" si="47"/>
        <v>118</v>
      </c>
      <c r="H121" s="45">
        <f t="shared" si="36"/>
        <v>319.725</v>
      </c>
      <c r="I121" s="45">
        <f t="shared" si="37"/>
        <v>790.395</v>
      </c>
      <c r="J121" s="45">
        <f t="shared" si="38"/>
        <v>1435.5</v>
      </c>
      <c r="K121" s="45">
        <f t="shared" si="39"/>
        <v>1634.556</v>
      </c>
      <c r="L121" s="45">
        <f t="shared" si="40"/>
        <v>2033.799</v>
      </c>
      <c r="M121" s="45">
        <f t="shared" si="41"/>
        <v>2248.9935</v>
      </c>
      <c r="N121" s="45">
        <f t="shared" si="42"/>
        <v>2700.48</v>
      </c>
      <c r="O121" s="45">
        <f t="shared" si="43"/>
        <v>3626.595</v>
      </c>
      <c r="P121" s="45">
        <f t="shared" si="44"/>
        <v>4393.935</v>
      </c>
      <c r="Q121" s="45">
        <f t="shared" si="45"/>
        <v>5015.115</v>
      </c>
      <c r="R121" s="45">
        <f t="shared" si="46"/>
        <v>5987.9925</v>
      </c>
    </row>
    <row r="122" spans="1:18" ht="12.75">
      <c r="A122" s="50">
        <v>75000</v>
      </c>
      <c r="B122" s="51">
        <v>0.69</v>
      </c>
      <c r="C122" s="51">
        <v>0.78</v>
      </c>
      <c r="D122" s="51">
        <v>0.86</v>
      </c>
      <c r="E122" s="51">
        <v>0.95</v>
      </c>
      <c r="F122" s="51">
        <v>1.03</v>
      </c>
      <c r="G122" s="48">
        <f t="shared" si="47"/>
        <v>119</v>
      </c>
      <c r="H122" s="45">
        <f t="shared" si="36"/>
        <v>326.025</v>
      </c>
      <c r="I122" s="45">
        <f t="shared" si="37"/>
        <v>807.3</v>
      </c>
      <c r="J122" s="45">
        <f t="shared" si="38"/>
        <v>1451.25</v>
      </c>
      <c r="K122" s="45">
        <f t="shared" si="39"/>
        <v>1652.49</v>
      </c>
      <c r="L122" s="45">
        <f t="shared" si="40"/>
        <v>2060.55</v>
      </c>
      <c r="M122" s="45">
        <f t="shared" si="41"/>
        <v>2278.575</v>
      </c>
      <c r="N122" s="45">
        <f t="shared" si="42"/>
        <v>2736</v>
      </c>
      <c r="O122" s="45">
        <f t="shared" si="43"/>
        <v>3680.19</v>
      </c>
      <c r="P122" s="45">
        <f t="shared" si="44"/>
        <v>4458.87</v>
      </c>
      <c r="Q122" s="45">
        <f t="shared" si="45"/>
        <v>5089.23</v>
      </c>
      <c r="R122" s="45">
        <f t="shared" si="46"/>
        <v>6076.485</v>
      </c>
    </row>
    <row r="123" spans="1:18" ht="12.75">
      <c r="A123" s="50">
        <v>77500</v>
      </c>
      <c r="B123" s="51">
        <v>0.68</v>
      </c>
      <c r="C123" s="51">
        <v>0.77</v>
      </c>
      <c r="D123" s="51">
        <v>0.85</v>
      </c>
      <c r="E123" s="51">
        <v>0.93</v>
      </c>
      <c r="F123" s="51">
        <v>1.02</v>
      </c>
      <c r="G123" s="48">
        <f t="shared" si="47"/>
        <v>120</v>
      </c>
      <c r="H123" s="45">
        <f t="shared" si="36"/>
        <v>332.01000000000005</v>
      </c>
      <c r="I123" s="45">
        <f t="shared" si="37"/>
        <v>823.515</v>
      </c>
      <c r="J123" s="45">
        <f t="shared" si="38"/>
        <v>1482.1875</v>
      </c>
      <c r="K123" s="45">
        <f t="shared" si="39"/>
        <v>1687.7175</v>
      </c>
      <c r="L123" s="45">
        <f t="shared" si="40"/>
        <v>2084.409</v>
      </c>
      <c r="M123" s="45">
        <f t="shared" si="41"/>
        <v>2304.9585</v>
      </c>
      <c r="N123" s="45">
        <f t="shared" si="42"/>
        <v>2767.68</v>
      </c>
      <c r="O123" s="45">
        <f t="shared" si="43"/>
        <v>3765.942</v>
      </c>
      <c r="P123" s="45">
        <f t="shared" si="44"/>
        <v>4562.7660000000005</v>
      </c>
      <c r="Q123" s="45">
        <f t="shared" si="45"/>
        <v>5207.814</v>
      </c>
      <c r="R123" s="45">
        <f t="shared" si="46"/>
        <v>6218.073</v>
      </c>
    </row>
    <row r="124" spans="1:18" ht="12.75">
      <c r="A124" s="50">
        <v>80000</v>
      </c>
      <c r="B124" s="51">
        <v>0.67</v>
      </c>
      <c r="C124" s="51">
        <v>0.75</v>
      </c>
      <c r="D124" s="51">
        <v>0.83</v>
      </c>
      <c r="E124" s="51">
        <v>0.92</v>
      </c>
      <c r="F124" s="51">
        <v>1</v>
      </c>
      <c r="G124" s="48">
        <f t="shared" si="47"/>
        <v>121</v>
      </c>
      <c r="H124" s="45">
        <f t="shared" si="36"/>
        <v>337.68</v>
      </c>
      <c r="I124" s="45">
        <f t="shared" si="37"/>
        <v>828</v>
      </c>
      <c r="J124" s="45">
        <f t="shared" si="38"/>
        <v>1494</v>
      </c>
      <c r="K124" s="45">
        <f t="shared" si="39"/>
        <v>1701.1680000000001</v>
      </c>
      <c r="L124" s="45">
        <f t="shared" si="40"/>
        <v>2128.512</v>
      </c>
      <c r="M124" s="45">
        <f t="shared" si="41"/>
        <v>2353.728</v>
      </c>
      <c r="N124" s="45">
        <f t="shared" si="42"/>
        <v>2826.24</v>
      </c>
      <c r="O124" s="45">
        <f t="shared" si="43"/>
        <v>3811.2</v>
      </c>
      <c r="P124" s="45">
        <f t="shared" si="44"/>
        <v>4617.6</v>
      </c>
      <c r="Q124" s="45">
        <f t="shared" si="45"/>
        <v>5270.4</v>
      </c>
      <c r="R124" s="45">
        <f t="shared" si="46"/>
        <v>6292.8</v>
      </c>
    </row>
    <row r="125" spans="1:18" ht="14.25" customHeight="1">
      <c r="A125" s="54">
        <v>80500</v>
      </c>
      <c r="B125" s="51">
        <v>0.67</v>
      </c>
      <c r="C125" s="51">
        <v>0.75</v>
      </c>
      <c r="D125" s="51">
        <v>0.83</v>
      </c>
      <c r="E125" s="51">
        <v>0.92</v>
      </c>
      <c r="F125" s="51">
        <v>1</v>
      </c>
      <c r="G125" s="48">
        <f t="shared" si="47"/>
        <v>122</v>
      </c>
      <c r="H125" s="45">
        <f t="shared" si="36"/>
        <v>339.7905</v>
      </c>
      <c r="I125" s="45">
        <f t="shared" si="37"/>
        <v>833.175</v>
      </c>
      <c r="J125" s="45">
        <f t="shared" si="38"/>
        <v>1503.3375</v>
      </c>
      <c r="K125" s="45">
        <f t="shared" si="39"/>
        <v>1711.8002999999999</v>
      </c>
      <c r="L125" s="45">
        <f t="shared" si="40"/>
        <v>2141.8152</v>
      </c>
      <c r="M125" s="45">
        <f t="shared" si="41"/>
        <v>2368.4388</v>
      </c>
      <c r="N125" s="45">
        <f t="shared" si="42"/>
        <v>2843.9040000000005</v>
      </c>
      <c r="O125" s="45">
        <f t="shared" si="43"/>
        <v>3835.02</v>
      </c>
      <c r="P125" s="45">
        <f t="shared" si="44"/>
        <v>4646.46</v>
      </c>
      <c r="Q125" s="45">
        <f t="shared" si="45"/>
        <v>5303.34</v>
      </c>
      <c r="R125" s="45">
        <f t="shared" si="46"/>
        <v>6332.13</v>
      </c>
    </row>
    <row r="126" spans="1:15" ht="10.5" customHeight="1">
      <c r="A126" s="54"/>
      <c r="B126" s="55"/>
      <c r="C126" s="55"/>
      <c r="D126" s="55"/>
      <c r="E126" s="55"/>
      <c r="F126" s="55"/>
      <c r="G126" s="56"/>
      <c r="H126" s="54"/>
      <c r="I126" s="54"/>
      <c r="J126" s="54"/>
      <c r="K126" s="54"/>
      <c r="L126" s="54"/>
      <c r="M126" s="54"/>
      <c r="N126" s="54"/>
      <c r="O126" s="54"/>
    </row>
    <row r="127" spans="1:15" ht="10.5" customHeight="1">
      <c r="A127" s="57" t="s">
        <v>46</v>
      </c>
      <c r="B127" s="58"/>
      <c r="C127" s="58"/>
      <c r="D127" s="58"/>
      <c r="E127" s="58"/>
      <c r="F127" s="58"/>
      <c r="G127" s="59"/>
      <c r="H127" s="60"/>
      <c r="I127" s="54"/>
      <c r="J127" s="54"/>
      <c r="K127" s="54"/>
      <c r="L127" s="54"/>
      <c r="M127" s="54"/>
      <c r="N127" s="54"/>
      <c r="O127" s="54"/>
    </row>
    <row r="128" spans="1:15" ht="10.5" customHeight="1">
      <c r="A128" s="57" t="s">
        <v>47</v>
      </c>
      <c r="B128" s="58"/>
      <c r="C128" s="58"/>
      <c r="D128" s="58"/>
      <c r="E128" s="58"/>
      <c r="F128" s="58"/>
      <c r="G128" s="59"/>
      <c r="H128" s="60"/>
      <c r="I128" s="54"/>
      <c r="J128" s="54"/>
      <c r="K128" s="54"/>
      <c r="L128" s="54"/>
      <c r="M128" s="54"/>
      <c r="N128" s="54"/>
      <c r="O128" s="54"/>
    </row>
    <row r="129" spans="1:15" ht="10.5" customHeight="1">
      <c r="A129" s="57" t="s">
        <v>48</v>
      </c>
      <c r="B129" s="58"/>
      <c r="C129" s="58"/>
      <c r="D129" s="58"/>
      <c r="E129" s="58"/>
      <c r="F129" s="58"/>
      <c r="G129" s="59"/>
      <c r="H129" s="60"/>
      <c r="I129" s="54"/>
      <c r="J129" s="54"/>
      <c r="K129" s="54"/>
      <c r="L129" s="54"/>
      <c r="M129" s="54"/>
      <c r="N129" s="54"/>
      <c r="O129" s="54"/>
    </row>
    <row r="130" spans="1:15" ht="10.5" customHeight="1">
      <c r="A130" s="57" t="s">
        <v>49</v>
      </c>
      <c r="B130" s="58"/>
      <c r="C130" s="58"/>
      <c r="D130" s="58"/>
      <c r="E130" s="58"/>
      <c r="F130" s="58"/>
      <c r="G130" s="59"/>
      <c r="H130" s="60"/>
      <c r="I130" s="54"/>
      <c r="J130" s="54"/>
      <c r="K130" s="54"/>
      <c r="L130" s="54"/>
      <c r="M130" s="54"/>
      <c r="N130" s="54"/>
      <c r="O130" s="54"/>
    </row>
    <row r="131" spans="1:15" ht="10.5" customHeight="1">
      <c r="A131" s="57" t="s">
        <v>50</v>
      </c>
      <c r="B131" s="58"/>
      <c r="C131" s="58"/>
      <c r="D131" s="58"/>
      <c r="E131" s="58"/>
      <c r="F131" s="58"/>
      <c r="G131" s="59"/>
      <c r="H131" s="60"/>
      <c r="I131" s="54"/>
      <c r="J131" s="54"/>
      <c r="K131" s="54"/>
      <c r="L131" s="54"/>
      <c r="M131" s="54"/>
      <c r="N131" s="54"/>
      <c r="O131" s="54"/>
    </row>
    <row r="132" spans="1:15" ht="6" customHeight="1">
      <c r="A132" s="54"/>
      <c r="B132" s="55"/>
      <c r="C132" s="55"/>
      <c r="D132" s="55"/>
      <c r="E132" s="55"/>
      <c r="F132" s="55"/>
      <c r="G132" s="56"/>
      <c r="H132" s="54"/>
      <c r="I132" s="54"/>
      <c r="J132" s="54"/>
      <c r="K132" s="54"/>
      <c r="L132" s="54"/>
      <c r="M132" s="54"/>
      <c r="N132" s="54"/>
      <c r="O132" s="54"/>
    </row>
    <row r="133" spans="1:15" ht="12.75">
      <c r="A133" s="26" t="s">
        <v>51</v>
      </c>
      <c r="C133" s="61">
        <f>(J133*0.01)/0.25</f>
        <v>0.024</v>
      </c>
      <c r="D133" s="61"/>
      <c r="E133" s="61"/>
      <c r="F133" s="61"/>
      <c r="G133" s="61"/>
      <c r="H133" s="61"/>
      <c r="I133" s="61"/>
      <c r="J133" s="62">
        <v>0.6</v>
      </c>
      <c r="K133" s="54"/>
      <c r="L133" s="54"/>
      <c r="M133" s="54"/>
      <c r="N133" s="54"/>
      <c r="O133" s="54"/>
    </row>
    <row r="134" spans="1:16" ht="30" customHeight="1">
      <c r="A134" s="26" t="s">
        <v>52</v>
      </c>
      <c r="D134"/>
      <c r="J134" s="63">
        <v>0.5</v>
      </c>
      <c r="K134" s="54"/>
      <c r="L134" s="54"/>
      <c r="M134" s="54"/>
      <c r="N134" s="54"/>
      <c r="O134" s="54"/>
      <c r="P134" s="54"/>
    </row>
    <row r="135" spans="1:17" ht="12.75">
      <c r="A135" s="26" t="s">
        <v>53</v>
      </c>
      <c r="D135"/>
      <c r="J135" s="63">
        <v>1</v>
      </c>
      <c r="K135" s="54"/>
      <c r="L135" s="54"/>
      <c r="M135" s="64"/>
      <c r="N135" s="64"/>
      <c r="O135" s="64"/>
      <c r="P135" s="65"/>
      <c r="Q135" s="65"/>
    </row>
    <row r="136" spans="1:16" ht="22.5" customHeight="1">
      <c r="A136" s="26" t="s">
        <v>54</v>
      </c>
      <c r="D136"/>
      <c r="J136" s="27">
        <v>0.5</v>
      </c>
      <c r="K136" s="54"/>
      <c r="L136" s="54"/>
      <c r="M136" s="54"/>
      <c r="N136" s="54"/>
      <c r="O136" s="54"/>
      <c r="P136" s="54"/>
    </row>
    <row r="137" spans="4:15" ht="6" customHeight="1">
      <c r="D137"/>
      <c r="I137" s="27"/>
      <c r="J137" s="54"/>
      <c r="K137" s="54"/>
      <c r="L137" s="54"/>
      <c r="M137" s="54"/>
      <c r="N137" s="54"/>
      <c r="O137" s="54"/>
    </row>
    <row r="138" spans="1:17" ht="12.75">
      <c r="A138" s="66" t="s">
        <v>55</v>
      </c>
      <c r="M138" s="66" t="s">
        <v>56</v>
      </c>
      <c r="P138" s="67"/>
      <c r="Q138" s="67"/>
    </row>
    <row r="139" spans="1:20" ht="12.75">
      <c r="A139" s="26" t="s">
        <v>57</v>
      </c>
      <c r="K139" s="68">
        <v>1</v>
      </c>
      <c r="L139" s="67"/>
      <c r="M139" s="26" t="s">
        <v>57</v>
      </c>
      <c r="N139" s="27"/>
      <c r="O139" s="27"/>
      <c r="P139" s="27"/>
      <c r="Q139" s="68">
        <v>1</v>
      </c>
      <c r="R139" s="67"/>
      <c r="S139" s="27"/>
      <c r="T139" s="28"/>
    </row>
    <row r="140" spans="1:20" ht="12.75">
      <c r="A140" s="26" t="s">
        <v>58</v>
      </c>
      <c r="K140" s="68">
        <v>0.5</v>
      </c>
      <c r="L140" s="67"/>
      <c r="M140" s="26" t="s">
        <v>58</v>
      </c>
      <c r="N140" s="27"/>
      <c r="O140" s="27"/>
      <c r="P140" s="27"/>
      <c r="Q140" s="68">
        <v>1</v>
      </c>
      <c r="S140" s="27"/>
      <c r="T140" s="28"/>
    </row>
    <row r="141" spans="1:20" ht="12.75">
      <c r="A141" s="26" t="s">
        <v>59</v>
      </c>
      <c r="K141" s="68">
        <v>0.25</v>
      </c>
      <c r="M141" s="26" t="s">
        <v>59</v>
      </c>
      <c r="N141" s="27"/>
      <c r="O141" s="27"/>
      <c r="P141" s="27"/>
      <c r="Q141" s="68">
        <v>1</v>
      </c>
      <c r="R141" s="67"/>
      <c r="S141" s="27"/>
      <c r="T141" s="28"/>
    </row>
    <row r="142" spans="1:20" ht="12.75">
      <c r="A142" s="26" t="s">
        <v>60</v>
      </c>
      <c r="K142" s="68">
        <v>0.15</v>
      </c>
      <c r="L142" t="s">
        <v>61</v>
      </c>
      <c r="M142" s="26" t="s">
        <v>62</v>
      </c>
      <c r="N142" s="27"/>
      <c r="O142" s="27"/>
      <c r="P142" s="27"/>
      <c r="Q142" s="68">
        <v>1</v>
      </c>
      <c r="S142" s="27"/>
      <c r="T142" s="28"/>
    </row>
    <row r="143" spans="9:18" ht="12.75">
      <c r="I143" s="27"/>
      <c r="M143" s="26" t="s">
        <v>63</v>
      </c>
      <c r="Q143" s="68">
        <v>1</v>
      </c>
      <c r="R143" t="s">
        <v>64</v>
      </c>
    </row>
    <row r="144" spans="9:17" ht="12.75">
      <c r="I144" s="27"/>
      <c r="M144" s="26"/>
      <c r="Q144" s="67"/>
    </row>
    <row r="145" spans="1:17" ht="12.75">
      <c r="A145" s="66" t="s">
        <v>65</v>
      </c>
      <c r="M145" s="373" t="s">
        <v>66</v>
      </c>
      <c r="N145" s="373"/>
      <c r="O145" s="373"/>
      <c r="P145" s="374">
        <v>16</v>
      </c>
      <c r="Q145" s="374"/>
    </row>
    <row r="146" spans="1:14" ht="13.5">
      <c r="A146" s="26" t="s">
        <v>57</v>
      </c>
      <c r="K146" s="68">
        <v>1</v>
      </c>
      <c r="M146" s="69"/>
      <c r="N146" s="69"/>
    </row>
    <row r="147" spans="1:17" ht="12.75">
      <c r="A147" s="26" t="s">
        <v>58</v>
      </c>
      <c r="K147" s="68">
        <v>0.5</v>
      </c>
      <c r="M147" s="373" t="s">
        <v>67</v>
      </c>
      <c r="N147" s="373"/>
      <c r="O147" s="373"/>
      <c r="P147" s="70">
        <v>150</v>
      </c>
      <c r="Q147" s="71" t="s">
        <v>68</v>
      </c>
    </row>
    <row r="148" spans="1:14" ht="13.5">
      <c r="A148" s="26" t="s">
        <v>69</v>
      </c>
      <c r="K148" s="68">
        <v>0.25</v>
      </c>
      <c r="L148" t="s">
        <v>61</v>
      </c>
      <c r="M148" s="69"/>
      <c r="N148" s="69"/>
    </row>
    <row r="149" spans="13:14" ht="13.5">
      <c r="M149" s="72"/>
      <c r="N149" s="69"/>
    </row>
    <row r="150" spans="14:17" ht="13.5">
      <c r="N150" s="72"/>
      <c r="O150" s="69"/>
      <c r="P150" s="69"/>
      <c r="Q150" s="69"/>
    </row>
    <row r="151" spans="15:17" ht="13.5">
      <c r="O151" s="69"/>
      <c r="P151" s="69"/>
      <c r="Q151" s="69"/>
    </row>
    <row r="152" spans="15:17" ht="13.5">
      <c r="O152" s="69"/>
      <c r="P152" s="69"/>
      <c r="Q152" s="69"/>
    </row>
    <row r="153" spans="15:17" ht="13.5">
      <c r="O153" s="69"/>
      <c r="P153" s="69"/>
      <c r="Q153" s="69"/>
    </row>
    <row r="154" spans="15:17" ht="13.5">
      <c r="O154" s="73"/>
      <c r="P154" s="73"/>
      <c r="Q154" s="73"/>
    </row>
  </sheetData>
  <mergeCells count="3">
    <mergeCell ref="M145:O145"/>
    <mergeCell ref="P145:Q145"/>
    <mergeCell ref="M147:O147"/>
  </mergeCells>
  <printOptions/>
  <pageMargins left="0.6694444444444445" right="0.15763888888888888" top="0.8395833333333333" bottom="0.3701388888888889" header="0.37986111111111115" footer="0.11805555555555557"/>
  <pageSetup horizontalDpi="300" verticalDpi="300" orientation="portrait" paperSize="9" scale="85"/>
  <headerFooter alignWithMargins="0">
    <oddHeader>&amp;CTMMOB MAKİNA MÜHENDİSLERİODASI EDİRNE ŞUBESİ ETKİNLİK ALANINDA
01.01.2007-30.06.2007 TARİHLERİ ARASINDA UYGULANACAK TESİSAT MÜHENDİSLİĞİ PROJE HİZMETLERİ MESLEKİ DENETİM ÜCRETLERİ</oddHeader>
    <oddFooter>&amp;CSayfa  &amp;P  /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41"/>
  <sheetViews>
    <sheetView showZeros="0" workbookViewId="0" topLeftCell="A1">
      <pane ySplit="4" topLeftCell="BM21" activePane="bottomLeft" state="frozen"/>
      <selection pane="topLeft" activeCell="A1" sqref="A1"/>
      <selection pane="bottomLeft" activeCell="G78" sqref="G78"/>
    </sheetView>
  </sheetViews>
  <sheetFormatPr defaultColWidth="9.140625" defaultRowHeight="12.75"/>
  <cols>
    <col min="1" max="1" width="8.28125" style="26" customWidth="1"/>
    <col min="2" max="6" width="0" style="27" hidden="1" customWidth="1"/>
    <col min="7" max="7" width="0" style="28" hidden="1" customWidth="1"/>
    <col min="19" max="16384" width="9.00390625" style="0" customWidth="1"/>
  </cols>
  <sheetData>
    <row r="1" spans="1:18" ht="12.75">
      <c r="A1" s="29" t="s">
        <v>33</v>
      </c>
      <c r="B1" s="30"/>
      <c r="C1" s="31"/>
      <c r="D1" s="31"/>
      <c r="E1" s="31"/>
      <c r="F1" s="31"/>
      <c r="G1" s="32"/>
      <c r="H1" s="33">
        <v>1</v>
      </c>
      <c r="I1" s="34">
        <v>2</v>
      </c>
      <c r="J1" s="35" t="s">
        <v>34</v>
      </c>
      <c r="K1" s="35" t="s">
        <v>35</v>
      </c>
      <c r="L1" s="35" t="s">
        <v>36</v>
      </c>
      <c r="M1" s="35" t="s">
        <v>37</v>
      </c>
      <c r="N1" s="35" t="s">
        <v>38</v>
      </c>
      <c r="O1" s="35" t="s">
        <v>39</v>
      </c>
      <c r="P1" s="35" t="s">
        <v>40</v>
      </c>
      <c r="Q1" s="35" t="s">
        <v>41</v>
      </c>
      <c r="R1" s="35" t="s">
        <v>42</v>
      </c>
    </row>
    <row r="2" spans="1:18" s="41" customFormat="1" ht="11.25">
      <c r="A2" s="36" t="s">
        <v>43</v>
      </c>
      <c r="B2" s="37"/>
      <c r="C2" s="38"/>
      <c r="D2" s="38"/>
      <c r="E2" s="38"/>
      <c r="F2" s="38"/>
      <c r="G2" s="39"/>
      <c r="H2" s="40">
        <v>105</v>
      </c>
      <c r="I2" s="40">
        <v>230</v>
      </c>
      <c r="J2" s="40">
        <v>375</v>
      </c>
      <c r="K2" s="40">
        <v>427</v>
      </c>
      <c r="L2" s="40">
        <v>482</v>
      </c>
      <c r="M2" s="40">
        <v>533</v>
      </c>
      <c r="N2" s="40">
        <v>640</v>
      </c>
      <c r="O2" s="40">
        <v>794</v>
      </c>
      <c r="P2" s="40">
        <v>962</v>
      </c>
      <c r="Q2" s="40">
        <v>1098</v>
      </c>
      <c r="R2" s="40">
        <v>1311</v>
      </c>
    </row>
    <row r="3" spans="1:18" ht="16.5" customHeight="1">
      <c r="A3" s="42" t="s">
        <v>44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/>
      <c r="H3" s="44" t="s">
        <v>45</v>
      </c>
      <c r="I3" s="44" t="s">
        <v>45</v>
      </c>
      <c r="J3" s="44" t="s">
        <v>45</v>
      </c>
      <c r="K3" s="44" t="s">
        <v>45</v>
      </c>
      <c r="L3" s="44" t="s">
        <v>45</v>
      </c>
      <c r="M3" s="44" t="s">
        <v>45</v>
      </c>
      <c r="N3" s="44" t="s">
        <v>45</v>
      </c>
      <c r="O3" s="44" t="s">
        <v>45</v>
      </c>
      <c r="P3" s="44" t="s">
        <v>45</v>
      </c>
      <c r="Q3" s="44" t="s">
        <v>45</v>
      </c>
      <c r="R3" s="44" t="s">
        <v>45</v>
      </c>
    </row>
    <row r="4" spans="1:18" ht="12.75" customHeight="1" hidden="1">
      <c r="A4" s="45">
        <v>10</v>
      </c>
      <c r="B4" s="46">
        <v>4.37</v>
      </c>
      <c r="C4" s="46">
        <v>4.93</v>
      </c>
      <c r="D4" s="46">
        <v>5.49</v>
      </c>
      <c r="E4" s="46">
        <v>6.05</v>
      </c>
      <c r="F4" s="46">
        <v>6.61</v>
      </c>
      <c r="G4" s="47">
        <v>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2.75" customHeight="1" hidden="1">
      <c r="A5" s="45">
        <v>50</v>
      </c>
      <c r="B5" s="46">
        <v>4.37</v>
      </c>
      <c r="C5" s="46">
        <v>4.93</v>
      </c>
      <c r="D5" s="46">
        <v>5.49</v>
      </c>
      <c r="E5" s="46">
        <v>6.05</v>
      </c>
      <c r="F5" s="46">
        <v>6.61</v>
      </c>
      <c r="G5" s="47">
        <v>2</v>
      </c>
      <c r="H5" s="45">
        <f aca="true" t="shared" si="0" ref="H5:H36">$A5*$B5*H$2*$J$127*$J$128*$J$129*$J$130/100</f>
        <v>34.41375</v>
      </c>
      <c r="I5" s="45">
        <f aca="true" t="shared" si="1" ref="I5:I36">$A5*$C5*$I$2*$J$127*$J$128*$J$129*$J$130/100</f>
        <v>85.0425</v>
      </c>
      <c r="J5" s="45">
        <f aca="true" t="shared" si="2" ref="J5:J36">$A5*$D5*$J$2*$J$127*$J$128*$J$129*$J$130/100</f>
        <v>154.40625</v>
      </c>
      <c r="K5" s="45">
        <f aca="true" t="shared" si="3" ref="K5:K36">$A5*$D5*$K$2*$J$127*$J$128*$J$129*$J$130/100</f>
        <v>175.81724999999997</v>
      </c>
      <c r="L5" s="45">
        <f aca="true" t="shared" si="4" ref="L5:L36">$A5*$E5*$L$2*$J$127*$J$128*$J$129*$J$130/100</f>
        <v>218.7075</v>
      </c>
      <c r="M5" s="45">
        <f aca="true" t="shared" si="5" ref="M5:M36">$A5*$E5*$M$2*$J$127*$J$128*$J$129*$J$130/100</f>
        <v>241.84875</v>
      </c>
      <c r="N5" s="45">
        <f aca="true" t="shared" si="6" ref="N5:N36">$A5*$E5*$N$2*$J$127*$J$128*$J$129*$J$130/100</f>
        <v>290.4</v>
      </c>
      <c r="O5" s="45">
        <f aca="true" t="shared" si="7" ref="O5:O36">$A5*$F5*$O$2*$J$127*$J$128*$J$129*$J$130/100</f>
        <v>393.62549999999993</v>
      </c>
      <c r="P5" s="45">
        <f aca="true" t="shared" si="8" ref="P5:P36">$A5*$F5*$P$2*$J$127*$J$128*$J$129*$J$130/100</f>
        <v>476.9115</v>
      </c>
      <c r="Q5" s="45">
        <f aca="true" t="shared" si="9" ref="Q5:Q36">$A5*$F5*$Q$2*$J$127*$J$128*$J$129*$J$130/100</f>
        <v>544.3335</v>
      </c>
      <c r="R5" s="45">
        <f aca="true" t="shared" si="10" ref="R5:R36">$A5*$F5*$R$2*$J$127*$J$128*$J$129*$J$130/100</f>
        <v>649.9282499999999</v>
      </c>
    </row>
    <row r="6" spans="1:18" ht="12.75" customHeight="1" hidden="1">
      <c r="A6" s="45">
        <v>100</v>
      </c>
      <c r="B6" s="46">
        <v>4.37</v>
      </c>
      <c r="C6" s="46">
        <v>4.93</v>
      </c>
      <c r="D6" s="46">
        <v>5.49</v>
      </c>
      <c r="E6" s="46">
        <v>6.05</v>
      </c>
      <c r="F6" s="46">
        <v>6.61</v>
      </c>
      <c r="G6" s="48">
        <f aca="true" t="shared" si="11" ref="G6:G37">G5+1</f>
        <v>3</v>
      </c>
      <c r="H6" s="45">
        <f t="shared" si="0"/>
        <v>68.8275</v>
      </c>
      <c r="I6" s="45">
        <f t="shared" si="1"/>
        <v>170.085</v>
      </c>
      <c r="J6" s="45">
        <f t="shared" si="2"/>
        <v>308.8125</v>
      </c>
      <c r="K6" s="45">
        <f t="shared" si="3"/>
        <v>351.63449999999995</v>
      </c>
      <c r="L6" s="45">
        <f t="shared" si="4"/>
        <v>437.415</v>
      </c>
      <c r="M6" s="45">
        <f t="shared" si="5"/>
        <v>483.6975</v>
      </c>
      <c r="N6" s="45">
        <f t="shared" si="6"/>
        <v>580.8</v>
      </c>
      <c r="O6" s="45">
        <f t="shared" si="7"/>
        <v>787.2509999999999</v>
      </c>
      <c r="P6" s="45">
        <f t="shared" si="8"/>
        <v>953.823</v>
      </c>
      <c r="Q6" s="45">
        <f t="shared" si="9"/>
        <v>1088.667</v>
      </c>
      <c r="R6" s="45">
        <f t="shared" si="10"/>
        <v>1299.8564999999999</v>
      </c>
    </row>
    <row r="7" spans="1:18" ht="14.25" customHeight="1">
      <c r="A7" s="45">
        <v>150</v>
      </c>
      <c r="B7" s="46">
        <v>4.37</v>
      </c>
      <c r="C7" s="46">
        <v>4.93</v>
      </c>
      <c r="D7" s="46">
        <v>5.49</v>
      </c>
      <c r="E7" s="46">
        <v>6.05</v>
      </c>
      <c r="F7" s="46">
        <v>6.61</v>
      </c>
      <c r="G7" s="48">
        <f t="shared" si="11"/>
        <v>4</v>
      </c>
      <c r="H7" s="45">
        <f t="shared" si="0"/>
        <v>103.24125</v>
      </c>
      <c r="I7" s="45">
        <f t="shared" si="1"/>
        <v>255.1275</v>
      </c>
      <c r="J7" s="45">
        <f t="shared" si="2"/>
        <v>463.21875</v>
      </c>
      <c r="K7" s="45">
        <f t="shared" si="3"/>
        <v>527.45175</v>
      </c>
      <c r="L7" s="45">
        <f t="shared" si="4"/>
        <v>656.1225</v>
      </c>
      <c r="M7" s="45">
        <f t="shared" si="5"/>
        <v>725.54625</v>
      </c>
      <c r="N7" s="45">
        <f t="shared" si="6"/>
        <v>871.2</v>
      </c>
      <c r="O7" s="45">
        <f t="shared" si="7"/>
        <v>1180.8764999999999</v>
      </c>
      <c r="P7" s="45">
        <f t="shared" si="8"/>
        <v>1430.7344999999998</v>
      </c>
      <c r="Q7" s="45">
        <f t="shared" si="9"/>
        <v>1633.0004999999999</v>
      </c>
      <c r="R7" s="45">
        <f t="shared" si="10"/>
        <v>1949.78475</v>
      </c>
    </row>
    <row r="8" spans="1:18" ht="14.25" customHeight="1">
      <c r="A8" s="45">
        <v>200</v>
      </c>
      <c r="B8" s="46">
        <v>4.37</v>
      </c>
      <c r="C8" s="46">
        <v>4.93</v>
      </c>
      <c r="D8" s="46">
        <v>5.49</v>
      </c>
      <c r="E8" s="46">
        <v>6.05</v>
      </c>
      <c r="F8" s="46">
        <v>6.61</v>
      </c>
      <c r="G8" s="48">
        <f t="shared" si="11"/>
        <v>5</v>
      </c>
      <c r="H8" s="45">
        <f t="shared" si="0"/>
        <v>137.655</v>
      </c>
      <c r="I8" s="45">
        <f t="shared" si="1"/>
        <v>340.17</v>
      </c>
      <c r="J8" s="45">
        <f t="shared" si="2"/>
        <v>617.625</v>
      </c>
      <c r="K8" s="45">
        <f t="shared" si="3"/>
        <v>703.2689999999999</v>
      </c>
      <c r="L8" s="45">
        <f t="shared" si="4"/>
        <v>874.83</v>
      </c>
      <c r="M8" s="45">
        <f t="shared" si="5"/>
        <v>967.395</v>
      </c>
      <c r="N8" s="45">
        <f t="shared" si="6"/>
        <v>1161.6</v>
      </c>
      <c r="O8" s="45">
        <f t="shared" si="7"/>
        <v>1574.5019999999997</v>
      </c>
      <c r="P8" s="45">
        <f t="shared" si="8"/>
        <v>1907.646</v>
      </c>
      <c r="Q8" s="45">
        <f t="shared" si="9"/>
        <v>2177.334</v>
      </c>
      <c r="R8" s="45">
        <f t="shared" si="10"/>
        <v>2599.7129999999997</v>
      </c>
    </row>
    <row r="9" spans="1:18" s="49" customFormat="1" ht="12.75">
      <c r="A9" s="45">
        <v>250</v>
      </c>
      <c r="B9" s="46">
        <v>4.37</v>
      </c>
      <c r="C9" s="46">
        <v>4.93</v>
      </c>
      <c r="D9" s="46">
        <v>5.49</v>
      </c>
      <c r="E9" s="46">
        <v>6.05</v>
      </c>
      <c r="F9" s="46">
        <v>6.61</v>
      </c>
      <c r="G9" s="48">
        <f t="shared" si="11"/>
        <v>6</v>
      </c>
      <c r="H9" s="45">
        <f t="shared" si="0"/>
        <v>172.06875</v>
      </c>
      <c r="I9" s="45">
        <f t="shared" si="1"/>
        <v>425.2125</v>
      </c>
      <c r="J9" s="45">
        <f t="shared" si="2"/>
        <v>772.03125</v>
      </c>
      <c r="K9" s="45">
        <f t="shared" si="3"/>
        <v>879.08625</v>
      </c>
      <c r="L9" s="45">
        <f t="shared" si="4"/>
        <v>1093.5375</v>
      </c>
      <c r="M9" s="45">
        <f t="shared" si="5"/>
        <v>1209.24375</v>
      </c>
      <c r="N9" s="45">
        <f t="shared" si="6"/>
        <v>1452</v>
      </c>
      <c r="O9" s="45">
        <f t="shared" si="7"/>
        <v>1968.1275</v>
      </c>
      <c r="P9" s="45">
        <f t="shared" si="8"/>
        <v>2384.5575</v>
      </c>
      <c r="Q9" s="45">
        <f t="shared" si="9"/>
        <v>2721.6675</v>
      </c>
      <c r="R9" s="45">
        <f t="shared" si="10"/>
        <v>3249.64125</v>
      </c>
    </row>
    <row r="10" spans="1:18" s="49" customFormat="1" ht="12.75">
      <c r="A10" s="45">
        <v>300</v>
      </c>
      <c r="B10" s="46">
        <v>4.28</v>
      </c>
      <c r="C10" s="46">
        <v>4.84</v>
      </c>
      <c r="D10" s="46">
        <v>5.4</v>
      </c>
      <c r="E10" s="46">
        <v>5.96</v>
      </c>
      <c r="F10" s="46">
        <v>6.52</v>
      </c>
      <c r="G10" s="48">
        <f t="shared" si="11"/>
        <v>7</v>
      </c>
      <c r="H10" s="45">
        <f t="shared" si="0"/>
        <v>202.23</v>
      </c>
      <c r="I10" s="45">
        <f t="shared" si="1"/>
        <v>500.94</v>
      </c>
      <c r="J10" s="45">
        <f t="shared" si="2"/>
        <v>911.25</v>
      </c>
      <c r="K10" s="45">
        <f t="shared" si="3"/>
        <v>1037.61</v>
      </c>
      <c r="L10" s="45">
        <f t="shared" si="4"/>
        <v>1292.724</v>
      </c>
      <c r="M10" s="45">
        <f t="shared" si="5"/>
        <v>1429.506</v>
      </c>
      <c r="N10" s="45">
        <f t="shared" si="6"/>
        <v>1716.48</v>
      </c>
      <c r="O10" s="45">
        <f t="shared" si="7"/>
        <v>2329.5959999999995</v>
      </c>
      <c r="P10" s="45">
        <f t="shared" si="8"/>
        <v>2822.5079999999994</v>
      </c>
      <c r="Q10" s="45">
        <f t="shared" si="9"/>
        <v>3221.531999999999</v>
      </c>
      <c r="R10" s="45">
        <f t="shared" si="10"/>
        <v>3846.4739999999993</v>
      </c>
    </row>
    <row r="11" spans="1:18" s="49" customFormat="1" ht="12.75">
      <c r="A11" s="45">
        <v>350</v>
      </c>
      <c r="B11" s="46">
        <v>4.19</v>
      </c>
      <c r="C11" s="46">
        <v>4.75</v>
      </c>
      <c r="D11" s="46">
        <v>5.31</v>
      </c>
      <c r="E11" s="46">
        <v>5.87</v>
      </c>
      <c r="F11" s="46">
        <v>6.43</v>
      </c>
      <c r="G11" s="48">
        <f t="shared" si="11"/>
        <v>8</v>
      </c>
      <c r="H11" s="45">
        <f t="shared" si="0"/>
        <v>230.97375000000002</v>
      </c>
      <c r="I11" s="45">
        <f t="shared" si="1"/>
        <v>573.5625</v>
      </c>
      <c r="J11" s="45">
        <f t="shared" si="2"/>
        <v>1045.4062499999998</v>
      </c>
      <c r="K11" s="45">
        <f t="shared" si="3"/>
        <v>1190.3692499999997</v>
      </c>
      <c r="L11" s="45">
        <f t="shared" si="4"/>
        <v>1485.4035000000001</v>
      </c>
      <c r="M11" s="45">
        <f t="shared" si="5"/>
        <v>1642.57275</v>
      </c>
      <c r="N11" s="45">
        <f t="shared" si="6"/>
        <v>1972.32</v>
      </c>
      <c r="O11" s="45">
        <f t="shared" si="7"/>
        <v>2680.3455</v>
      </c>
      <c r="P11" s="45">
        <f t="shared" si="8"/>
        <v>3247.4714999999997</v>
      </c>
      <c r="Q11" s="45">
        <f t="shared" si="9"/>
        <v>3706.5735</v>
      </c>
      <c r="R11" s="45">
        <f t="shared" si="10"/>
        <v>4425.60825</v>
      </c>
    </row>
    <row r="12" spans="1:18" s="49" customFormat="1" ht="12.75">
      <c r="A12" s="45">
        <v>400</v>
      </c>
      <c r="B12" s="46">
        <v>4.1</v>
      </c>
      <c r="C12" s="46">
        <v>4.66</v>
      </c>
      <c r="D12" s="46">
        <v>5.22</v>
      </c>
      <c r="E12" s="46">
        <v>5.78</v>
      </c>
      <c r="F12" s="46">
        <v>6.34</v>
      </c>
      <c r="G12" s="48">
        <f t="shared" si="11"/>
        <v>9</v>
      </c>
      <c r="H12" s="45">
        <f t="shared" si="0"/>
        <v>258.29999999999995</v>
      </c>
      <c r="I12" s="45">
        <f t="shared" si="1"/>
        <v>643.08</v>
      </c>
      <c r="J12" s="45">
        <f t="shared" si="2"/>
        <v>1174.5</v>
      </c>
      <c r="K12" s="45">
        <f t="shared" si="3"/>
        <v>1337.364</v>
      </c>
      <c r="L12" s="45">
        <f t="shared" si="4"/>
        <v>1671.576</v>
      </c>
      <c r="M12" s="45">
        <f t="shared" si="5"/>
        <v>1848.444</v>
      </c>
      <c r="N12" s="45">
        <f t="shared" si="6"/>
        <v>2219.52</v>
      </c>
      <c r="O12" s="45">
        <f t="shared" si="7"/>
        <v>3020.3759999999997</v>
      </c>
      <c r="P12" s="45">
        <f t="shared" si="8"/>
        <v>3659.448</v>
      </c>
      <c r="Q12" s="45">
        <f t="shared" si="9"/>
        <v>4176.792</v>
      </c>
      <c r="R12" s="45">
        <f t="shared" si="10"/>
        <v>4987.044</v>
      </c>
    </row>
    <row r="13" spans="1:18" s="49" customFormat="1" ht="12.75">
      <c r="A13" s="45">
        <v>450</v>
      </c>
      <c r="B13" s="46">
        <v>4.01</v>
      </c>
      <c r="C13" s="46">
        <v>4.57</v>
      </c>
      <c r="D13" s="46">
        <v>5.13</v>
      </c>
      <c r="E13" s="46">
        <v>5.69</v>
      </c>
      <c r="F13" s="46">
        <v>6.25</v>
      </c>
      <c r="G13" s="48">
        <f t="shared" si="11"/>
        <v>10</v>
      </c>
      <c r="H13" s="45">
        <f t="shared" si="0"/>
        <v>284.20875</v>
      </c>
      <c r="I13" s="45">
        <f t="shared" si="1"/>
        <v>709.4925</v>
      </c>
      <c r="J13" s="45">
        <f t="shared" si="2"/>
        <v>1298.53125</v>
      </c>
      <c r="K13" s="45">
        <f t="shared" si="3"/>
        <v>1478.5942499999999</v>
      </c>
      <c r="L13" s="45">
        <f t="shared" si="4"/>
        <v>1851.2414999999999</v>
      </c>
      <c r="M13" s="45">
        <f t="shared" si="5"/>
        <v>2047.11975</v>
      </c>
      <c r="N13" s="45">
        <f t="shared" si="6"/>
        <v>2458.08</v>
      </c>
      <c r="O13" s="45">
        <f t="shared" si="7"/>
        <v>3349.6875</v>
      </c>
      <c r="P13" s="45">
        <f t="shared" si="8"/>
        <v>4058.4375</v>
      </c>
      <c r="Q13" s="45">
        <f t="shared" si="9"/>
        <v>4632.1875</v>
      </c>
      <c r="R13" s="45">
        <f t="shared" si="10"/>
        <v>5530.78125</v>
      </c>
    </row>
    <row r="14" spans="1:18" s="49" customFormat="1" ht="12.75">
      <c r="A14" s="45">
        <v>500</v>
      </c>
      <c r="B14" s="46">
        <v>3.92</v>
      </c>
      <c r="C14" s="46">
        <v>4.48</v>
      </c>
      <c r="D14" s="46">
        <v>5.04</v>
      </c>
      <c r="E14" s="46">
        <v>5.6</v>
      </c>
      <c r="F14" s="46">
        <v>6.16</v>
      </c>
      <c r="G14" s="48">
        <f t="shared" si="11"/>
        <v>11</v>
      </c>
      <c r="H14" s="45">
        <f t="shared" si="0"/>
        <v>308.7</v>
      </c>
      <c r="I14" s="45">
        <f t="shared" si="1"/>
        <v>772.8</v>
      </c>
      <c r="J14" s="45">
        <f t="shared" si="2"/>
        <v>1417.5</v>
      </c>
      <c r="K14" s="45">
        <f t="shared" si="3"/>
        <v>1614.06</v>
      </c>
      <c r="L14" s="45">
        <f t="shared" si="4"/>
        <v>2024.4</v>
      </c>
      <c r="M14" s="45">
        <f t="shared" si="5"/>
        <v>2238.6</v>
      </c>
      <c r="N14" s="45">
        <f t="shared" si="6"/>
        <v>2688</v>
      </c>
      <c r="O14" s="45">
        <f t="shared" si="7"/>
        <v>3668.28</v>
      </c>
      <c r="P14" s="45">
        <f t="shared" si="8"/>
        <v>4444.44</v>
      </c>
      <c r="Q14" s="45">
        <f t="shared" si="9"/>
        <v>5072.76</v>
      </c>
      <c r="R14" s="45">
        <f t="shared" si="10"/>
        <v>6056.82</v>
      </c>
    </row>
    <row r="15" spans="1:18" s="49" customFormat="1" ht="12.75">
      <c r="A15" s="45">
        <v>550</v>
      </c>
      <c r="B15" s="46">
        <v>3.83</v>
      </c>
      <c r="C15" s="46">
        <v>4.39</v>
      </c>
      <c r="D15" s="46">
        <v>4.95</v>
      </c>
      <c r="E15" s="46">
        <v>5.51</v>
      </c>
      <c r="F15" s="46">
        <v>6.07</v>
      </c>
      <c r="G15" s="48">
        <f t="shared" si="11"/>
        <v>12</v>
      </c>
      <c r="H15" s="45">
        <f t="shared" si="0"/>
        <v>331.77375</v>
      </c>
      <c r="I15" s="45">
        <f t="shared" si="1"/>
        <v>833.0025</v>
      </c>
      <c r="J15" s="45">
        <f t="shared" si="2"/>
        <v>1531.40625</v>
      </c>
      <c r="K15" s="45">
        <f t="shared" si="3"/>
        <v>1743.76125</v>
      </c>
      <c r="L15" s="45">
        <f t="shared" si="4"/>
        <v>2191.0515</v>
      </c>
      <c r="M15" s="45">
        <f t="shared" si="5"/>
        <v>2422.8847499999997</v>
      </c>
      <c r="N15" s="45">
        <f t="shared" si="6"/>
        <v>2909.28</v>
      </c>
      <c r="O15" s="45">
        <f t="shared" si="7"/>
        <v>3976.1535</v>
      </c>
      <c r="P15" s="45">
        <f t="shared" si="8"/>
        <v>4817.4555</v>
      </c>
      <c r="Q15" s="45">
        <f t="shared" si="9"/>
        <v>5498.509499999999</v>
      </c>
      <c r="R15" s="45">
        <f t="shared" si="10"/>
        <v>6565.16025</v>
      </c>
    </row>
    <row r="16" spans="1:18" ht="12.75">
      <c r="A16" s="50">
        <v>600</v>
      </c>
      <c r="B16" s="51">
        <v>3.74</v>
      </c>
      <c r="C16" s="51">
        <v>4.3</v>
      </c>
      <c r="D16" s="51">
        <v>4.86</v>
      </c>
      <c r="E16" s="51">
        <v>5.42</v>
      </c>
      <c r="F16" s="51">
        <v>5.98</v>
      </c>
      <c r="G16" s="48">
        <f t="shared" si="11"/>
        <v>13</v>
      </c>
      <c r="H16" s="45">
        <f t="shared" si="0"/>
        <v>353.43</v>
      </c>
      <c r="I16" s="45">
        <f t="shared" si="1"/>
        <v>890.1</v>
      </c>
      <c r="J16" s="45">
        <f t="shared" si="2"/>
        <v>1640.25</v>
      </c>
      <c r="K16" s="45">
        <f t="shared" si="3"/>
        <v>1867.6979999999999</v>
      </c>
      <c r="L16" s="45">
        <f t="shared" si="4"/>
        <v>2351.196</v>
      </c>
      <c r="M16" s="45">
        <f t="shared" si="5"/>
        <v>2599.974</v>
      </c>
      <c r="N16" s="45">
        <f t="shared" si="6"/>
        <v>3121.92</v>
      </c>
      <c r="O16" s="45">
        <f t="shared" si="7"/>
        <v>4273.308000000001</v>
      </c>
      <c r="P16" s="45">
        <f t="shared" si="8"/>
        <v>5177.484</v>
      </c>
      <c r="Q16" s="45">
        <f t="shared" si="9"/>
        <v>5909.436000000001</v>
      </c>
      <c r="R16" s="45">
        <f t="shared" si="10"/>
        <v>7055.802000000001</v>
      </c>
    </row>
    <row r="17" spans="1:18" s="49" customFormat="1" ht="12.75">
      <c r="A17" s="45">
        <v>650</v>
      </c>
      <c r="B17" s="46">
        <v>3.65</v>
      </c>
      <c r="C17" s="46">
        <v>4.21</v>
      </c>
      <c r="D17" s="46">
        <v>4.77</v>
      </c>
      <c r="E17" s="46">
        <v>5.33</v>
      </c>
      <c r="F17" s="46">
        <v>5.89</v>
      </c>
      <c r="G17" s="48">
        <f t="shared" si="11"/>
        <v>14</v>
      </c>
      <c r="H17" s="45">
        <f t="shared" si="0"/>
        <v>373.66875</v>
      </c>
      <c r="I17" s="45">
        <f t="shared" si="1"/>
        <v>944.0925</v>
      </c>
      <c r="J17" s="45">
        <f t="shared" si="2"/>
        <v>1744.0312499999998</v>
      </c>
      <c r="K17" s="45">
        <f t="shared" si="3"/>
        <v>1985.8702499999997</v>
      </c>
      <c r="L17" s="45">
        <f t="shared" si="4"/>
        <v>2504.8334999999997</v>
      </c>
      <c r="M17" s="45">
        <f t="shared" si="5"/>
        <v>2769.8677499999994</v>
      </c>
      <c r="N17" s="45">
        <f t="shared" si="6"/>
        <v>3325.92</v>
      </c>
      <c r="O17" s="45">
        <f t="shared" si="7"/>
        <v>4559.7435</v>
      </c>
      <c r="P17" s="45">
        <f t="shared" si="8"/>
        <v>5524.5255</v>
      </c>
      <c r="Q17" s="45">
        <f t="shared" si="9"/>
        <v>6305.5395</v>
      </c>
      <c r="R17" s="45">
        <f t="shared" si="10"/>
        <v>7528.74525</v>
      </c>
    </row>
    <row r="18" spans="1:18" ht="12.75">
      <c r="A18" s="50">
        <v>700</v>
      </c>
      <c r="B18" s="51">
        <v>3.56</v>
      </c>
      <c r="C18" s="51">
        <v>4.12</v>
      </c>
      <c r="D18" s="51">
        <v>4.68</v>
      </c>
      <c r="E18" s="51">
        <v>5.24</v>
      </c>
      <c r="F18" s="51">
        <v>5.8</v>
      </c>
      <c r="G18" s="48">
        <f t="shared" si="11"/>
        <v>15</v>
      </c>
      <c r="H18" s="45">
        <f t="shared" si="0"/>
        <v>392.49</v>
      </c>
      <c r="I18" s="45">
        <f t="shared" si="1"/>
        <v>994.98</v>
      </c>
      <c r="J18" s="45">
        <f t="shared" si="2"/>
        <v>1842.75</v>
      </c>
      <c r="K18" s="45">
        <f t="shared" si="3"/>
        <v>2098.278</v>
      </c>
      <c r="L18" s="45">
        <f t="shared" si="4"/>
        <v>2651.9639999999995</v>
      </c>
      <c r="M18" s="45">
        <f t="shared" si="5"/>
        <v>2932.566</v>
      </c>
      <c r="N18" s="45">
        <f t="shared" si="6"/>
        <v>3521.28</v>
      </c>
      <c r="O18" s="45">
        <f t="shared" si="7"/>
        <v>4835.46</v>
      </c>
      <c r="P18" s="45">
        <f t="shared" si="8"/>
        <v>5858.58</v>
      </c>
      <c r="Q18" s="45">
        <f t="shared" si="9"/>
        <v>6686.82</v>
      </c>
      <c r="R18" s="45">
        <f t="shared" si="10"/>
        <v>7983.99</v>
      </c>
    </row>
    <row r="19" spans="1:18" ht="12.75">
      <c r="A19" s="50">
        <v>750</v>
      </c>
      <c r="B19" s="51">
        <v>3.47</v>
      </c>
      <c r="C19" s="51">
        <v>4.03</v>
      </c>
      <c r="D19" s="51">
        <v>4.59</v>
      </c>
      <c r="E19" s="51">
        <v>5.15</v>
      </c>
      <c r="F19" s="51">
        <v>5.71</v>
      </c>
      <c r="G19" s="48">
        <f t="shared" si="11"/>
        <v>16</v>
      </c>
      <c r="H19" s="45">
        <f t="shared" si="0"/>
        <v>409.89375</v>
      </c>
      <c r="I19" s="45">
        <f t="shared" si="1"/>
        <v>1042.7625</v>
      </c>
      <c r="J19" s="45">
        <f t="shared" si="2"/>
        <v>1936.40625</v>
      </c>
      <c r="K19" s="45">
        <f t="shared" si="3"/>
        <v>2204.92125</v>
      </c>
      <c r="L19" s="45">
        <f t="shared" si="4"/>
        <v>2792.5875</v>
      </c>
      <c r="M19" s="45">
        <f t="shared" si="5"/>
        <v>3088.06875</v>
      </c>
      <c r="N19" s="45">
        <f t="shared" si="6"/>
        <v>3708.0000000000005</v>
      </c>
      <c r="O19" s="45">
        <f t="shared" si="7"/>
        <v>5100.4575</v>
      </c>
      <c r="P19" s="45">
        <f t="shared" si="8"/>
        <v>6179.6475</v>
      </c>
      <c r="Q19" s="45">
        <f t="shared" si="9"/>
        <v>7053.2775</v>
      </c>
      <c r="R19" s="45">
        <f t="shared" si="10"/>
        <v>8421.53625</v>
      </c>
    </row>
    <row r="20" spans="1:18" ht="12.75">
      <c r="A20" s="50">
        <v>800</v>
      </c>
      <c r="B20" s="51">
        <v>3.38</v>
      </c>
      <c r="C20" s="51">
        <v>3.94</v>
      </c>
      <c r="D20" s="51">
        <v>4.5</v>
      </c>
      <c r="E20" s="51">
        <v>5.06</v>
      </c>
      <c r="F20" s="51">
        <v>5.62</v>
      </c>
      <c r="G20" s="48">
        <f t="shared" si="11"/>
        <v>17</v>
      </c>
      <c r="H20" s="45">
        <f t="shared" si="0"/>
        <v>425.88</v>
      </c>
      <c r="I20" s="45">
        <f t="shared" si="1"/>
        <v>1087.44</v>
      </c>
      <c r="J20" s="45">
        <f t="shared" si="2"/>
        <v>2025</v>
      </c>
      <c r="K20" s="45">
        <f t="shared" si="3"/>
        <v>2305.8</v>
      </c>
      <c r="L20" s="45">
        <f t="shared" si="4"/>
        <v>2926.7039999999997</v>
      </c>
      <c r="M20" s="45">
        <f t="shared" si="5"/>
        <v>3236.3759999999993</v>
      </c>
      <c r="N20" s="45">
        <f t="shared" si="6"/>
        <v>3886.0799999999995</v>
      </c>
      <c r="O20" s="45">
        <f t="shared" si="7"/>
        <v>5354.736</v>
      </c>
      <c r="P20" s="45">
        <f t="shared" si="8"/>
        <v>6487.727999999999</v>
      </c>
      <c r="Q20" s="45">
        <f t="shared" si="9"/>
        <v>7404.911999999999</v>
      </c>
      <c r="R20" s="45">
        <f t="shared" si="10"/>
        <v>8841.384</v>
      </c>
    </row>
    <row r="21" spans="1:18" ht="12.75">
      <c r="A21" s="50">
        <v>850</v>
      </c>
      <c r="B21" s="51">
        <v>3.29</v>
      </c>
      <c r="C21" s="51">
        <v>3.85</v>
      </c>
      <c r="D21" s="51">
        <v>4.41</v>
      </c>
      <c r="E21" s="51">
        <v>4.97</v>
      </c>
      <c r="F21" s="51">
        <v>5.53</v>
      </c>
      <c r="G21" s="48">
        <f t="shared" si="11"/>
        <v>18</v>
      </c>
      <c r="H21" s="45">
        <f t="shared" si="0"/>
        <v>440.44875</v>
      </c>
      <c r="I21" s="45">
        <f t="shared" si="1"/>
        <v>1129.0125</v>
      </c>
      <c r="J21" s="45">
        <f t="shared" si="2"/>
        <v>2108.53125</v>
      </c>
      <c r="K21" s="45">
        <f t="shared" si="3"/>
        <v>2400.91425</v>
      </c>
      <c r="L21" s="45">
        <f t="shared" si="4"/>
        <v>3054.3134999999997</v>
      </c>
      <c r="M21" s="45">
        <f t="shared" si="5"/>
        <v>3377.48775</v>
      </c>
      <c r="N21" s="45">
        <f t="shared" si="6"/>
        <v>4055.52</v>
      </c>
      <c r="O21" s="45">
        <f t="shared" si="7"/>
        <v>5598.295499999999</v>
      </c>
      <c r="P21" s="45">
        <f t="shared" si="8"/>
        <v>6782.8215</v>
      </c>
      <c r="Q21" s="45">
        <f t="shared" si="9"/>
        <v>7741.7235</v>
      </c>
      <c r="R21" s="45">
        <f t="shared" si="10"/>
        <v>9243.53325</v>
      </c>
    </row>
    <row r="22" spans="1:18" ht="12.75">
      <c r="A22" s="50">
        <v>900</v>
      </c>
      <c r="B22" s="51">
        <v>3.2</v>
      </c>
      <c r="C22" s="51">
        <v>3.76</v>
      </c>
      <c r="D22" s="51">
        <v>4.32</v>
      </c>
      <c r="E22" s="51">
        <v>4.88</v>
      </c>
      <c r="F22" s="51">
        <v>5.44</v>
      </c>
      <c r="G22" s="48">
        <f t="shared" si="11"/>
        <v>19</v>
      </c>
      <c r="H22" s="45">
        <f t="shared" si="0"/>
        <v>453.6</v>
      </c>
      <c r="I22" s="45">
        <f t="shared" si="1"/>
        <v>1167.48</v>
      </c>
      <c r="J22" s="45">
        <f t="shared" si="2"/>
        <v>2187.0000000000005</v>
      </c>
      <c r="K22" s="45">
        <f t="shared" si="3"/>
        <v>2490.264</v>
      </c>
      <c r="L22" s="45">
        <f t="shared" si="4"/>
        <v>3175.4159999999997</v>
      </c>
      <c r="M22" s="45">
        <f t="shared" si="5"/>
        <v>3511.4039999999995</v>
      </c>
      <c r="N22" s="45">
        <f t="shared" si="6"/>
        <v>4216.32</v>
      </c>
      <c r="O22" s="45">
        <f t="shared" si="7"/>
        <v>5831.1359999999995</v>
      </c>
      <c r="P22" s="45">
        <f t="shared" si="8"/>
        <v>7064.927999999999</v>
      </c>
      <c r="Q22" s="45">
        <f t="shared" si="9"/>
        <v>8063.7119999999995</v>
      </c>
      <c r="R22" s="45">
        <f t="shared" si="10"/>
        <v>9627.983999999999</v>
      </c>
    </row>
    <row r="23" spans="1:18" ht="12.75">
      <c r="A23" s="50">
        <v>950</v>
      </c>
      <c r="B23" s="51">
        <v>3.11</v>
      </c>
      <c r="C23" s="51">
        <v>3.67</v>
      </c>
      <c r="D23" s="51">
        <v>4.23</v>
      </c>
      <c r="E23" s="51">
        <v>4.79</v>
      </c>
      <c r="F23" s="51">
        <v>5.35</v>
      </c>
      <c r="G23" s="48">
        <f t="shared" si="11"/>
        <v>20</v>
      </c>
      <c r="H23" s="45">
        <f t="shared" si="0"/>
        <v>465.33375</v>
      </c>
      <c r="I23" s="45">
        <f t="shared" si="1"/>
        <v>1202.8425</v>
      </c>
      <c r="J23" s="45">
        <f t="shared" si="2"/>
        <v>2260.4062500000005</v>
      </c>
      <c r="K23" s="45">
        <f t="shared" si="3"/>
        <v>2573.84925</v>
      </c>
      <c r="L23" s="45">
        <f t="shared" si="4"/>
        <v>3290.0114999999996</v>
      </c>
      <c r="M23" s="45">
        <f t="shared" si="5"/>
        <v>3638.12475</v>
      </c>
      <c r="N23" s="45">
        <f t="shared" si="6"/>
        <v>4368.48</v>
      </c>
      <c r="O23" s="45">
        <f t="shared" si="7"/>
        <v>6053.2575</v>
      </c>
      <c r="P23" s="45">
        <f t="shared" si="8"/>
        <v>7334.0475</v>
      </c>
      <c r="Q23" s="45">
        <f t="shared" si="9"/>
        <v>8370.8775</v>
      </c>
      <c r="R23" s="45">
        <f t="shared" si="10"/>
        <v>9994.73625</v>
      </c>
    </row>
    <row r="24" spans="1:18" ht="12.75">
      <c r="A24" s="50">
        <v>1000</v>
      </c>
      <c r="B24" s="51">
        <v>3.02</v>
      </c>
      <c r="C24" s="51">
        <v>3.58</v>
      </c>
      <c r="D24" s="51">
        <v>4.14</v>
      </c>
      <c r="E24" s="51">
        <v>4.7</v>
      </c>
      <c r="F24" s="51">
        <v>5.26</v>
      </c>
      <c r="G24" s="48">
        <f t="shared" si="11"/>
        <v>21</v>
      </c>
      <c r="H24" s="45">
        <f t="shared" si="0"/>
        <v>475.65</v>
      </c>
      <c r="I24" s="45">
        <f t="shared" si="1"/>
        <v>1235.1</v>
      </c>
      <c r="J24" s="45">
        <f t="shared" si="2"/>
        <v>2328.75</v>
      </c>
      <c r="K24" s="45">
        <f t="shared" si="3"/>
        <v>2651.67</v>
      </c>
      <c r="L24" s="45">
        <f t="shared" si="4"/>
        <v>3398.1</v>
      </c>
      <c r="M24" s="45">
        <f t="shared" si="5"/>
        <v>3757.65</v>
      </c>
      <c r="N24" s="45">
        <f t="shared" si="6"/>
        <v>4512</v>
      </c>
      <c r="O24" s="45">
        <f t="shared" si="7"/>
        <v>6264.66</v>
      </c>
      <c r="P24" s="45">
        <f t="shared" si="8"/>
        <v>7590.18</v>
      </c>
      <c r="Q24" s="45">
        <f t="shared" si="9"/>
        <v>8663.22</v>
      </c>
      <c r="R24" s="45">
        <f t="shared" si="10"/>
        <v>10343.79</v>
      </c>
    </row>
    <row r="25" spans="1:18" ht="12.75">
      <c r="A25" s="50">
        <v>1050</v>
      </c>
      <c r="B25" s="51">
        <v>3</v>
      </c>
      <c r="C25" s="51">
        <v>3.56</v>
      </c>
      <c r="D25" s="51">
        <v>4.11</v>
      </c>
      <c r="E25" s="51">
        <v>4.66</v>
      </c>
      <c r="F25" s="51">
        <v>5.22</v>
      </c>
      <c r="G25" s="48">
        <f t="shared" si="11"/>
        <v>22</v>
      </c>
      <c r="H25" s="45">
        <f t="shared" si="0"/>
        <v>496.125</v>
      </c>
      <c r="I25" s="45">
        <f t="shared" si="1"/>
        <v>1289.61</v>
      </c>
      <c r="J25" s="45">
        <f t="shared" si="2"/>
        <v>2427.46875</v>
      </c>
      <c r="K25" s="45">
        <f t="shared" si="3"/>
        <v>2764.0777499999995</v>
      </c>
      <c r="L25" s="45">
        <f t="shared" si="4"/>
        <v>3537.6389999999997</v>
      </c>
      <c r="M25" s="45">
        <f t="shared" si="5"/>
        <v>3911.9534999999996</v>
      </c>
      <c r="N25" s="45">
        <f t="shared" si="6"/>
        <v>4697.28</v>
      </c>
      <c r="O25" s="45">
        <f t="shared" si="7"/>
        <v>6527.871</v>
      </c>
      <c r="P25" s="45">
        <f t="shared" si="8"/>
        <v>7909.083</v>
      </c>
      <c r="Q25" s="45">
        <f t="shared" si="9"/>
        <v>9027.207</v>
      </c>
      <c r="R25" s="45">
        <f t="shared" si="10"/>
        <v>10778.386499999999</v>
      </c>
    </row>
    <row r="26" spans="1:18" ht="12.75">
      <c r="A26" s="50">
        <v>1100</v>
      </c>
      <c r="B26" s="51">
        <v>2.98</v>
      </c>
      <c r="C26" s="51">
        <v>3.54</v>
      </c>
      <c r="D26" s="51">
        <v>4.08</v>
      </c>
      <c r="E26" s="51">
        <v>4.63</v>
      </c>
      <c r="F26" s="51">
        <v>5.18</v>
      </c>
      <c r="G26" s="48">
        <f t="shared" si="11"/>
        <v>23</v>
      </c>
      <c r="H26" s="45">
        <f t="shared" si="0"/>
        <v>516.285</v>
      </c>
      <c r="I26" s="45">
        <f t="shared" si="1"/>
        <v>1343.43</v>
      </c>
      <c r="J26" s="45">
        <f t="shared" si="2"/>
        <v>2524.5</v>
      </c>
      <c r="K26" s="45">
        <f t="shared" si="3"/>
        <v>2874.564</v>
      </c>
      <c r="L26" s="45">
        <f t="shared" si="4"/>
        <v>3682.2389999999996</v>
      </c>
      <c r="M26" s="45">
        <f t="shared" si="5"/>
        <v>4071.8534999999997</v>
      </c>
      <c r="N26" s="45">
        <f t="shared" si="6"/>
        <v>4889.28</v>
      </c>
      <c r="O26" s="45">
        <f t="shared" si="7"/>
        <v>6786.317999999999</v>
      </c>
      <c r="P26" s="45">
        <f t="shared" si="8"/>
        <v>8222.214</v>
      </c>
      <c r="Q26" s="45">
        <f t="shared" si="9"/>
        <v>9384.606</v>
      </c>
      <c r="R26" s="45">
        <f t="shared" si="10"/>
        <v>11205.117</v>
      </c>
    </row>
    <row r="27" spans="1:18" ht="12.75">
      <c r="A27" s="50">
        <v>1150</v>
      </c>
      <c r="B27" s="51">
        <v>2.96</v>
      </c>
      <c r="C27" s="51">
        <v>3.51</v>
      </c>
      <c r="D27" s="51">
        <v>4.05</v>
      </c>
      <c r="E27" s="51">
        <v>4.6</v>
      </c>
      <c r="F27" s="51">
        <v>5.14</v>
      </c>
      <c r="G27" s="48">
        <f t="shared" si="11"/>
        <v>24</v>
      </c>
      <c r="H27" s="45">
        <f t="shared" si="0"/>
        <v>536.13</v>
      </c>
      <c r="I27" s="45">
        <f t="shared" si="1"/>
        <v>1392.5924999999997</v>
      </c>
      <c r="J27" s="45">
        <f t="shared" si="2"/>
        <v>2619.84375</v>
      </c>
      <c r="K27" s="45">
        <f t="shared" si="3"/>
        <v>2983.12875</v>
      </c>
      <c r="L27" s="45">
        <f t="shared" si="4"/>
        <v>3824.67</v>
      </c>
      <c r="M27" s="45">
        <f t="shared" si="5"/>
        <v>4229.355</v>
      </c>
      <c r="N27" s="45">
        <f t="shared" si="6"/>
        <v>5078.4</v>
      </c>
      <c r="O27" s="45">
        <f t="shared" si="7"/>
        <v>7040.001</v>
      </c>
      <c r="P27" s="45">
        <f t="shared" si="8"/>
        <v>8529.572999999999</v>
      </c>
      <c r="Q27" s="45">
        <f t="shared" si="9"/>
        <v>9735.417</v>
      </c>
      <c r="R27" s="45">
        <f t="shared" si="10"/>
        <v>11623.9815</v>
      </c>
    </row>
    <row r="28" spans="1:18" ht="12.75">
      <c r="A28" s="50">
        <v>1200</v>
      </c>
      <c r="B28" s="51">
        <v>2.94</v>
      </c>
      <c r="C28" s="51">
        <v>3.49</v>
      </c>
      <c r="D28" s="51">
        <v>4.02</v>
      </c>
      <c r="E28" s="51">
        <v>4.56</v>
      </c>
      <c r="F28" s="51">
        <v>5.1</v>
      </c>
      <c r="G28" s="48">
        <f t="shared" si="11"/>
        <v>25</v>
      </c>
      <c r="H28" s="45">
        <f t="shared" si="0"/>
        <v>555.66</v>
      </c>
      <c r="I28" s="45">
        <f t="shared" si="1"/>
        <v>1444.86</v>
      </c>
      <c r="J28" s="45">
        <f t="shared" si="2"/>
        <v>2713.4999999999995</v>
      </c>
      <c r="K28" s="45">
        <f t="shared" si="3"/>
        <v>3089.771999999999</v>
      </c>
      <c r="L28" s="45">
        <f t="shared" si="4"/>
        <v>3956.2559999999994</v>
      </c>
      <c r="M28" s="45">
        <f t="shared" si="5"/>
        <v>4374.863999999999</v>
      </c>
      <c r="N28" s="45">
        <f t="shared" si="6"/>
        <v>5253.119999999999</v>
      </c>
      <c r="O28" s="45">
        <f t="shared" si="7"/>
        <v>7288.92</v>
      </c>
      <c r="P28" s="45">
        <f t="shared" si="8"/>
        <v>8831.16</v>
      </c>
      <c r="Q28" s="45">
        <f t="shared" si="9"/>
        <v>10079.64</v>
      </c>
      <c r="R28" s="45">
        <f t="shared" si="10"/>
        <v>12034.98</v>
      </c>
    </row>
    <row r="29" spans="1:18" ht="12.75">
      <c r="A29" s="50">
        <v>1250</v>
      </c>
      <c r="B29" s="51">
        <v>2.92</v>
      </c>
      <c r="C29" s="51">
        <v>3.46</v>
      </c>
      <c r="D29" s="51">
        <v>3.99</v>
      </c>
      <c r="E29" s="51">
        <v>4.53</v>
      </c>
      <c r="F29" s="51">
        <v>5.07</v>
      </c>
      <c r="G29" s="48">
        <f t="shared" si="11"/>
        <v>26</v>
      </c>
      <c r="H29" s="45">
        <f t="shared" si="0"/>
        <v>574.875</v>
      </c>
      <c r="I29" s="45">
        <f t="shared" si="1"/>
        <v>1492.125</v>
      </c>
      <c r="J29" s="45">
        <f t="shared" si="2"/>
        <v>2805.46875</v>
      </c>
      <c r="K29" s="45">
        <f t="shared" si="3"/>
        <v>3194.49375</v>
      </c>
      <c r="L29" s="45">
        <f t="shared" si="4"/>
        <v>4093.9875</v>
      </c>
      <c r="M29" s="45">
        <f t="shared" si="5"/>
        <v>4527.16875</v>
      </c>
      <c r="N29" s="45">
        <f t="shared" si="6"/>
        <v>5436</v>
      </c>
      <c r="O29" s="45">
        <f t="shared" si="7"/>
        <v>7547.9625</v>
      </c>
      <c r="P29" s="45">
        <f t="shared" si="8"/>
        <v>9145.0125</v>
      </c>
      <c r="Q29" s="45">
        <f t="shared" si="9"/>
        <v>10437.8625</v>
      </c>
      <c r="R29" s="45">
        <f t="shared" si="10"/>
        <v>12462.69375</v>
      </c>
    </row>
    <row r="30" spans="1:18" ht="12.75">
      <c r="A30" s="50">
        <v>1300</v>
      </c>
      <c r="B30" s="51">
        <v>2.9</v>
      </c>
      <c r="C30" s="51">
        <v>3.44</v>
      </c>
      <c r="D30" s="51">
        <v>3.96</v>
      </c>
      <c r="E30" s="51">
        <v>4.5</v>
      </c>
      <c r="F30" s="51">
        <v>5.04</v>
      </c>
      <c r="G30" s="48">
        <f t="shared" si="11"/>
        <v>27</v>
      </c>
      <c r="H30" s="45">
        <f t="shared" si="0"/>
        <v>593.775</v>
      </c>
      <c r="I30" s="45">
        <f t="shared" si="1"/>
        <v>1542.84</v>
      </c>
      <c r="J30" s="45">
        <f t="shared" si="2"/>
        <v>2895.75</v>
      </c>
      <c r="K30" s="45">
        <f t="shared" si="3"/>
        <v>3297.294</v>
      </c>
      <c r="L30" s="45">
        <f t="shared" si="4"/>
        <v>4229.55</v>
      </c>
      <c r="M30" s="45">
        <f t="shared" si="5"/>
        <v>4677.075</v>
      </c>
      <c r="N30" s="45">
        <f t="shared" si="6"/>
        <v>5616</v>
      </c>
      <c r="O30" s="45">
        <f t="shared" si="7"/>
        <v>7803.432</v>
      </c>
      <c r="P30" s="45">
        <f t="shared" si="8"/>
        <v>9454.536</v>
      </c>
      <c r="Q30" s="45">
        <f t="shared" si="9"/>
        <v>10791.143999999998</v>
      </c>
      <c r="R30" s="45">
        <f t="shared" si="10"/>
        <v>12884.508</v>
      </c>
    </row>
    <row r="31" spans="1:18" ht="12.75">
      <c r="A31" s="50">
        <v>1350</v>
      </c>
      <c r="B31" s="51">
        <v>2.88</v>
      </c>
      <c r="C31" s="51">
        <v>3.41</v>
      </c>
      <c r="D31" s="51">
        <v>3.93</v>
      </c>
      <c r="E31" s="51">
        <v>4.46</v>
      </c>
      <c r="F31" s="51">
        <v>4.99</v>
      </c>
      <c r="G31" s="48">
        <f t="shared" si="11"/>
        <v>28</v>
      </c>
      <c r="H31" s="45">
        <f t="shared" si="0"/>
        <v>612.36</v>
      </c>
      <c r="I31" s="45">
        <f t="shared" si="1"/>
        <v>1588.2075</v>
      </c>
      <c r="J31" s="45">
        <f t="shared" si="2"/>
        <v>2984.34375</v>
      </c>
      <c r="K31" s="45">
        <f t="shared" si="3"/>
        <v>3398.1727499999997</v>
      </c>
      <c r="L31" s="45">
        <f t="shared" si="4"/>
        <v>4353.183</v>
      </c>
      <c r="M31" s="45">
        <f t="shared" si="5"/>
        <v>4813.7895</v>
      </c>
      <c r="N31" s="45">
        <f t="shared" si="6"/>
        <v>5780.16</v>
      </c>
      <c r="O31" s="45">
        <f t="shared" si="7"/>
        <v>8023.1715</v>
      </c>
      <c r="P31" s="45">
        <f t="shared" si="8"/>
        <v>9720.7695</v>
      </c>
      <c r="Q31" s="45">
        <f t="shared" si="9"/>
        <v>11095.015500000001</v>
      </c>
      <c r="R31" s="45">
        <f t="shared" si="10"/>
        <v>13247.327249999998</v>
      </c>
    </row>
    <row r="32" spans="1:18" ht="12.75">
      <c r="A32" s="50">
        <v>1400</v>
      </c>
      <c r="B32" s="51">
        <v>2.86</v>
      </c>
      <c r="C32" s="51">
        <v>3.39</v>
      </c>
      <c r="D32" s="51">
        <v>3.9</v>
      </c>
      <c r="E32" s="51">
        <v>4.43</v>
      </c>
      <c r="F32" s="51">
        <v>4.96</v>
      </c>
      <c r="G32" s="48">
        <f t="shared" si="11"/>
        <v>29</v>
      </c>
      <c r="H32" s="45">
        <f t="shared" si="0"/>
        <v>630.63</v>
      </c>
      <c r="I32" s="45">
        <f t="shared" si="1"/>
        <v>1637.37</v>
      </c>
      <c r="J32" s="45">
        <f t="shared" si="2"/>
        <v>3071.25</v>
      </c>
      <c r="K32" s="45">
        <f t="shared" si="3"/>
        <v>3497.13</v>
      </c>
      <c r="L32" s="45">
        <f t="shared" si="4"/>
        <v>4484.045999999999</v>
      </c>
      <c r="M32" s="45">
        <f t="shared" si="5"/>
        <v>4958.499</v>
      </c>
      <c r="N32" s="45">
        <f t="shared" si="6"/>
        <v>5953.92</v>
      </c>
      <c r="O32" s="45">
        <f t="shared" si="7"/>
        <v>8270.304</v>
      </c>
      <c r="P32" s="45">
        <f t="shared" si="8"/>
        <v>10020.192</v>
      </c>
      <c r="Q32" s="45">
        <f t="shared" si="9"/>
        <v>11436.768</v>
      </c>
      <c r="R32" s="45">
        <f t="shared" si="10"/>
        <v>13655.375999999998</v>
      </c>
    </row>
    <row r="33" spans="1:18" ht="12.75">
      <c r="A33" s="50">
        <v>1450</v>
      </c>
      <c r="B33" s="51">
        <v>2.84</v>
      </c>
      <c r="C33" s="51">
        <v>3.36</v>
      </c>
      <c r="D33" s="51">
        <v>3.87</v>
      </c>
      <c r="E33" s="51">
        <v>4.4</v>
      </c>
      <c r="F33" s="51">
        <v>4.92</v>
      </c>
      <c r="G33" s="48">
        <f t="shared" si="11"/>
        <v>30</v>
      </c>
      <c r="H33" s="45">
        <f t="shared" si="0"/>
        <v>648.585</v>
      </c>
      <c r="I33" s="45">
        <f t="shared" si="1"/>
        <v>1680.84</v>
      </c>
      <c r="J33" s="45">
        <f t="shared" si="2"/>
        <v>3156.46875</v>
      </c>
      <c r="K33" s="45">
        <f t="shared" si="3"/>
        <v>3594.16575</v>
      </c>
      <c r="L33" s="45">
        <f t="shared" si="4"/>
        <v>4612.740000000001</v>
      </c>
      <c r="M33" s="45">
        <f t="shared" si="5"/>
        <v>5100.81</v>
      </c>
      <c r="N33" s="45">
        <f t="shared" si="6"/>
        <v>6124.8</v>
      </c>
      <c r="O33" s="45">
        <f t="shared" si="7"/>
        <v>8496.594000000001</v>
      </c>
      <c r="P33" s="45">
        <f t="shared" si="8"/>
        <v>10294.362</v>
      </c>
      <c r="Q33" s="45">
        <f t="shared" si="9"/>
        <v>11749.698</v>
      </c>
      <c r="R33" s="45">
        <f t="shared" si="10"/>
        <v>14029.010999999999</v>
      </c>
    </row>
    <row r="34" spans="1:18" ht="12.75">
      <c r="A34" s="50">
        <v>1500</v>
      </c>
      <c r="B34" s="51">
        <v>2.82</v>
      </c>
      <c r="C34" s="51">
        <v>3.34</v>
      </c>
      <c r="D34" s="51">
        <v>3.85</v>
      </c>
      <c r="E34" s="51">
        <v>4.37</v>
      </c>
      <c r="F34" s="51">
        <v>4.88</v>
      </c>
      <c r="G34" s="48">
        <f t="shared" si="11"/>
        <v>31</v>
      </c>
      <c r="H34" s="45">
        <f t="shared" si="0"/>
        <v>666.225</v>
      </c>
      <c r="I34" s="45">
        <f t="shared" si="1"/>
        <v>1728.45</v>
      </c>
      <c r="J34" s="45">
        <f t="shared" si="2"/>
        <v>3248.4375</v>
      </c>
      <c r="K34" s="45">
        <f t="shared" si="3"/>
        <v>3698.8875</v>
      </c>
      <c r="L34" s="45">
        <f t="shared" si="4"/>
        <v>4739.265</v>
      </c>
      <c r="M34" s="45">
        <f t="shared" si="5"/>
        <v>5240.7225</v>
      </c>
      <c r="N34" s="45">
        <f t="shared" si="6"/>
        <v>6292.8</v>
      </c>
      <c r="O34" s="45">
        <f t="shared" si="7"/>
        <v>8718.12</v>
      </c>
      <c r="P34" s="45">
        <f t="shared" si="8"/>
        <v>10562.76</v>
      </c>
      <c r="Q34" s="45">
        <f t="shared" si="9"/>
        <v>12056.04</v>
      </c>
      <c r="R34" s="45">
        <f t="shared" si="10"/>
        <v>14394.78</v>
      </c>
    </row>
    <row r="35" spans="1:18" ht="12.75">
      <c r="A35" s="50">
        <v>1550</v>
      </c>
      <c r="B35" s="51">
        <v>2.8</v>
      </c>
      <c r="C35" s="51">
        <v>3.31</v>
      </c>
      <c r="D35" s="51">
        <v>3.82</v>
      </c>
      <c r="E35" s="51">
        <v>4.34</v>
      </c>
      <c r="F35" s="51">
        <v>4.85</v>
      </c>
      <c r="G35" s="48">
        <f t="shared" si="11"/>
        <v>32</v>
      </c>
      <c r="H35" s="45">
        <f t="shared" si="0"/>
        <v>683.55</v>
      </c>
      <c r="I35" s="45">
        <f t="shared" si="1"/>
        <v>1770.0225</v>
      </c>
      <c r="J35" s="45">
        <f t="shared" si="2"/>
        <v>3330.5625</v>
      </c>
      <c r="K35" s="45">
        <f t="shared" si="3"/>
        <v>3792.4004999999997</v>
      </c>
      <c r="L35" s="45">
        <f t="shared" si="4"/>
        <v>4863.621</v>
      </c>
      <c r="M35" s="45">
        <f t="shared" si="5"/>
        <v>5378.2365</v>
      </c>
      <c r="N35" s="45">
        <f t="shared" si="6"/>
        <v>6457.92</v>
      </c>
      <c r="O35" s="45">
        <f t="shared" si="7"/>
        <v>8953.342499999999</v>
      </c>
      <c r="P35" s="45">
        <f t="shared" si="8"/>
        <v>10847.752499999997</v>
      </c>
      <c r="Q35" s="45">
        <f t="shared" si="9"/>
        <v>12381.322499999998</v>
      </c>
      <c r="R35" s="45">
        <f t="shared" si="10"/>
        <v>14783.163749999998</v>
      </c>
    </row>
    <row r="36" spans="1:18" ht="12.75">
      <c r="A36" s="50">
        <v>1600</v>
      </c>
      <c r="B36" s="51">
        <v>2.78</v>
      </c>
      <c r="C36" s="51">
        <v>3.29</v>
      </c>
      <c r="D36" s="51">
        <v>3.79</v>
      </c>
      <c r="E36" s="51">
        <v>4.32</v>
      </c>
      <c r="F36" s="51">
        <v>4.81</v>
      </c>
      <c r="G36" s="48">
        <f t="shared" si="11"/>
        <v>33</v>
      </c>
      <c r="H36" s="45">
        <f t="shared" si="0"/>
        <v>700.56</v>
      </c>
      <c r="I36" s="45">
        <f t="shared" si="1"/>
        <v>1816.08</v>
      </c>
      <c r="J36" s="45">
        <f t="shared" si="2"/>
        <v>3411</v>
      </c>
      <c r="K36" s="45">
        <f t="shared" si="3"/>
        <v>3883.992</v>
      </c>
      <c r="L36" s="45">
        <f t="shared" si="4"/>
        <v>4997.376</v>
      </c>
      <c r="M36" s="45">
        <f t="shared" si="5"/>
        <v>5526.144</v>
      </c>
      <c r="N36" s="45">
        <f t="shared" si="6"/>
        <v>6635.52</v>
      </c>
      <c r="O36" s="45">
        <f t="shared" si="7"/>
        <v>9165.935999999998</v>
      </c>
      <c r="P36" s="45">
        <f t="shared" si="8"/>
        <v>11105.327999999998</v>
      </c>
      <c r="Q36" s="45">
        <f t="shared" si="9"/>
        <v>12675.311999999998</v>
      </c>
      <c r="R36" s="45">
        <f t="shared" si="10"/>
        <v>15134.183999999997</v>
      </c>
    </row>
    <row r="37" spans="1:18" ht="12.75">
      <c r="A37" s="50">
        <v>1650</v>
      </c>
      <c r="B37" s="51">
        <v>2.76</v>
      </c>
      <c r="C37" s="51">
        <v>3.26</v>
      </c>
      <c r="D37" s="51">
        <v>3.76</v>
      </c>
      <c r="E37" s="51">
        <v>4.27</v>
      </c>
      <c r="F37" s="51">
        <v>4.77</v>
      </c>
      <c r="G37" s="48">
        <f t="shared" si="11"/>
        <v>34</v>
      </c>
      <c r="H37" s="45">
        <f aca="true" t="shared" si="12" ref="H37:H68">$A37*$B37*H$2*$J$127*$J$128*$J$129*$J$130/100</f>
        <v>717.255</v>
      </c>
      <c r="I37" s="45">
        <f aca="true" t="shared" si="13" ref="I37:I68">$A37*$C37*$I$2*$J$127*$J$128*$J$129*$J$130/100</f>
        <v>1855.755</v>
      </c>
      <c r="J37" s="45">
        <f aca="true" t="shared" si="14" ref="J37:J68">$A37*$D37*$J$2*$J$127*$J$128*$J$129*$J$130/100</f>
        <v>3489.75</v>
      </c>
      <c r="K37" s="45">
        <f aca="true" t="shared" si="15" ref="K37:K68">$A37*$D37*$K$2*$J$127*$J$128*$J$129*$J$130/100</f>
        <v>3973.6620000000003</v>
      </c>
      <c r="L37" s="45">
        <f aca="true" t="shared" si="16" ref="L37:L68">$A37*$E37*$L$2*$J$127*$J$128*$J$129*$J$130/100</f>
        <v>5093.896499999999</v>
      </c>
      <c r="M37" s="45">
        <f aca="true" t="shared" si="17" ref="M37:M68">$A37*$E37*$M$2*$J$127*$J$128*$J$129*$J$130/100</f>
        <v>5632.877249999999</v>
      </c>
      <c r="N37" s="45">
        <f aca="true" t="shared" si="18" ref="N37:N68">$A37*$E37*$N$2*$J$127*$J$128*$J$129*$J$130/100</f>
        <v>6763.6799999999985</v>
      </c>
      <c r="O37" s="45">
        <f aca="true" t="shared" si="19" ref="O37:O68">$A37*$F37*$O$2*$J$127*$J$128*$J$129*$J$130/100</f>
        <v>9373.765499999998</v>
      </c>
      <c r="P37" s="45">
        <f aca="true" t="shared" si="20" ref="P37:P68">$A37*$F37*$P$2*$J$127*$J$128*$J$129*$J$130/100</f>
        <v>11357.1315</v>
      </c>
      <c r="Q37" s="45">
        <f aca="true" t="shared" si="21" ref="Q37:Q68">$A37*$F37*$Q$2*$J$127*$J$128*$J$129*$J$130/100</f>
        <v>12962.713499999996</v>
      </c>
      <c r="R37" s="45">
        <f aca="true" t="shared" si="22" ref="R37:R68">$A37*$F37*$R$2*$J$127*$J$128*$J$129*$J$130/100</f>
        <v>15477.338249999997</v>
      </c>
    </row>
    <row r="38" spans="1:18" ht="12.75">
      <c r="A38" s="50">
        <v>1700</v>
      </c>
      <c r="B38" s="51">
        <v>2.74</v>
      </c>
      <c r="C38" s="51">
        <v>3.24</v>
      </c>
      <c r="D38" s="51">
        <v>3.73</v>
      </c>
      <c r="E38" s="51">
        <v>4.24</v>
      </c>
      <c r="F38" s="51">
        <v>4.73</v>
      </c>
      <c r="G38" s="48">
        <f aca="true" t="shared" si="23" ref="G38:G69">G37+1</f>
        <v>35</v>
      </c>
      <c r="H38" s="45">
        <f t="shared" si="12"/>
        <v>733.635</v>
      </c>
      <c r="I38" s="45">
        <f t="shared" si="13"/>
        <v>1900.26</v>
      </c>
      <c r="J38" s="45">
        <f t="shared" si="14"/>
        <v>3566.8125</v>
      </c>
      <c r="K38" s="45">
        <f t="shared" si="15"/>
        <v>4061.4105</v>
      </c>
      <c r="L38" s="45">
        <f t="shared" si="16"/>
        <v>5211.384</v>
      </c>
      <c r="M38" s="45">
        <f t="shared" si="17"/>
        <v>5762.795999999999</v>
      </c>
      <c r="N38" s="45">
        <f t="shared" si="18"/>
        <v>6919.68</v>
      </c>
      <c r="O38" s="45">
        <f t="shared" si="19"/>
        <v>9576.831</v>
      </c>
      <c r="P38" s="45">
        <f t="shared" si="20"/>
        <v>11603.163</v>
      </c>
      <c r="Q38" s="45">
        <f t="shared" si="21"/>
        <v>13243.527000000002</v>
      </c>
      <c r="R38" s="45">
        <f t="shared" si="22"/>
        <v>15812.626500000002</v>
      </c>
    </row>
    <row r="39" spans="1:18" ht="12.75">
      <c r="A39" s="50">
        <v>1750</v>
      </c>
      <c r="B39" s="51">
        <v>2.72</v>
      </c>
      <c r="C39" s="51">
        <v>3.22</v>
      </c>
      <c r="D39" s="51">
        <v>3.7</v>
      </c>
      <c r="E39" s="51">
        <v>4.21</v>
      </c>
      <c r="F39" s="51">
        <v>4.69</v>
      </c>
      <c r="G39" s="48">
        <f t="shared" si="23"/>
        <v>36</v>
      </c>
      <c r="H39" s="45">
        <f t="shared" si="12"/>
        <v>749.7</v>
      </c>
      <c r="I39" s="45">
        <f t="shared" si="13"/>
        <v>1944.075</v>
      </c>
      <c r="J39" s="45">
        <f t="shared" si="14"/>
        <v>3642.1875</v>
      </c>
      <c r="K39" s="45">
        <f t="shared" si="15"/>
        <v>4147.2375</v>
      </c>
      <c r="L39" s="45">
        <f t="shared" si="16"/>
        <v>5326.7025</v>
      </c>
      <c r="M39" s="45">
        <f t="shared" si="17"/>
        <v>5890.31625</v>
      </c>
      <c r="N39" s="45">
        <f t="shared" si="18"/>
        <v>7072.8</v>
      </c>
      <c r="O39" s="45">
        <f t="shared" si="19"/>
        <v>9775.1325</v>
      </c>
      <c r="P39" s="45">
        <f t="shared" si="20"/>
        <v>11843.4225</v>
      </c>
      <c r="Q39" s="45">
        <f t="shared" si="21"/>
        <v>13517.7525</v>
      </c>
      <c r="R39" s="45">
        <f t="shared" si="22"/>
        <v>16140.04875</v>
      </c>
    </row>
    <row r="40" spans="1:18" ht="12.75">
      <c r="A40" s="50">
        <v>1800</v>
      </c>
      <c r="B40" s="51">
        <v>2.7</v>
      </c>
      <c r="C40" s="51">
        <v>3.19</v>
      </c>
      <c r="D40" s="51">
        <v>3.67</v>
      </c>
      <c r="E40" s="51">
        <v>4.17</v>
      </c>
      <c r="F40" s="51">
        <v>4.66</v>
      </c>
      <c r="G40" s="48">
        <f t="shared" si="23"/>
        <v>37</v>
      </c>
      <c r="H40" s="45">
        <f t="shared" si="12"/>
        <v>765.45</v>
      </c>
      <c r="I40" s="45">
        <f t="shared" si="13"/>
        <v>1980.99</v>
      </c>
      <c r="J40" s="45">
        <f t="shared" si="14"/>
        <v>3715.875</v>
      </c>
      <c r="K40" s="45">
        <f t="shared" si="15"/>
        <v>4231.143</v>
      </c>
      <c r="L40" s="45">
        <f t="shared" si="16"/>
        <v>5426.838</v>
      </c>
      <c r="M40" s="45">
        <f t="shared" si="17"/>
        <v>6001.047</v>
      </c>
      <c r="N40" s="45">
        <f t="shared" si="18"/>
        <v>7205.76</v>
      </c>
      <c r="O40" s="45">
        <f t="shared" si="19"/>
        <v>9990.108</v>
      </c>
      <c r="P40" s="45">
        <f t="shared" si="20"/>
        <v>12103.883999999998</v>
      </c>
      <c r="Q40" s="45">
        <f t="shared" si="21"/>
        <v>13815.035999999998</v>
      </c>
      <c r="R40" s="45">
        <f t="shared" si="22"/>
        <v>16495.002</v>
      </c>
    </row>
    <row r="41" spans="1:18" ht="12.75">
      <c r="A41" s="50">
        <v>1850</v>
      </c>
      <c r="B41" s="51">
        <v>2.68</v>
      </c>
      <c r="C41" s="51">
        <v>3.17</v>
      </c>
      <c r="D41" s="51">
        <v>3.64</v>
      </c>
      <c r="E41" s="51">
        <v>4.14</v>
      </c>
      <c r="F41" s="51">
        <v>4.62</v>
      </c>
      <c r="G41" s="48">
        <f t="shared" si="23"/>
        <v>38</v>
      </c>
      <c r="H41" s="45">
        <f t="shared" si="12"/>
        <v>780.885</v>
      </c>
      <c r="I41" s="45">
        <f t="shared" si="13"/>
        <v>2023.2525</v>
      </c>
      <c r="J41" s="45">
        <f t="shared" si="14"/>
        <v>3787.875</v>
      </c>
      <c r="K41" s="45">
        <f t="shared" si="15"/>
        <v>4313.127</v>
      </c>
      <c r="L41" s="45">
        <f t="shared" si="16"/>
        <v>5537.456999999999</v>
      </c>
      <c r="M41" s="45">
        <f t="shared" si="17"/>
        <v>6123.370499999999</v>
      </c>
      <c r="N41" s="45">
        <f t="shared" si="18"/>
        <v>7352.6399999999985</v>
      </c>
      <c r="O41" s="45">
        <f t="shared" si="19"/>
        <v>10179.476999999999</v>
      </c>
      <c r="P41" s="45">
        <f t="shared" si="20"/>
        <v>12333.320999999998</v>
      </c>
      <c r="Q41" s="45">
        <f t="shared" si="21"/>
        <v>14076.909</v>
      </c>
      <c r="R41" s="45">
        <f t="shared" si="22"/>
        <v>16807.6755</v>
      </c>
    </row>
    <row r="42" spans="1:18" ht="12.75">
      <c r="A42" s="50">
        <v>1900</v>
      </c>
      <c r="B42" s="51">
        <v>2.66</v>
      </c>
      <c r="C42" s="51">
        <v>3.14</v>
      </c>
      <c r="D42" s="51">
        <v>3.61</v>
      </c>
      <c r="E42" s="51">
        <v>4.11</v>
      </c>
      <c r="F42" s="51">
        <v>4.58</v>
      </c>
      <c r="G42" s="48">
        <f t="shared" si="23"/>
        <v>39</v>
      </c>
      <c r="H42" s="45">
        <f t="shared" si="12"/>
        <v>796.005</v>
      </c>
      <c r="I42" s="45">
        <f t="shared" si="13"/>
        <v>2058.27</v>
      </c>
      <c r="J42" s="45">
        <f t="shared" si="14"/>
        <v>3858.1875</v>
      </c>
      <c r="K42" s="45">
        <f t="shared" si="15"/>
        <v>4393.1895</v>
      </c>
      <c r="L42" s="45">
        <f t="shared" si="16"/>
        <v>5645.907000000001</v>
      </c>
      <c r="M42" s="45">
        <f t="shared" si="17"/>
        <v>6243.2955</v>
      </c>
      <c r="N42" s="45">
        <f t="shared" si="18"/>
        <v>7496.640000000001</v>
      </c>
      <c r="O42" s="45">
        <f t="shared" si="19"/>
        <v>10364.082</v>
      </c>
      <c r="P42" s="45">
        <f t="shared" si="20"/>
        <v>12556.985999999999</v>
      </c>
      <c r="Q42" s="45">
        <f t="shared" si="21"/>
        <v>14332.194</v>
      </c>
      <c r="R42" s="45">
        <f t="shared" si="22"/>
        <v>17112.483</v>
      </c>
    </row>
    <row r="43" spans="1:18" ht="12.75">
      <c r="A43" s="50">
        <v>1950</v>
      </c>
      <c r="B43" s="51">
        <v>2.64</v>
      </c>
      <c r="C43" s="51">
        <v>3.12</v>
      </c>
      <c r="D43" s="51">
        <v>3.58</v>
      </c>
      <c r="E43" s="51">
        <v>4.07</v>
      </c>
      <c r="F43" s="51">
        <v>4.54</v>
      </c>
      <c r="G43" s="48">
        <f t="shared" si="23"/>
        <v>40</v>
      </c>
      <c r="H43" s="45">
        <f t="shared" si="12"/>
        <v>810.81</v>
      </c>
      <c r="I43" s="45">
        <f t="shared" si="13"/>
        <v>2098.98</v>
      </c>
      <c r="J43" s="45">
        <f t="shared" si="14"/>
        <v>3926.8125</v>
      </c>
      <c r="K43" s="45">
        <f t="shared" si="15"/>
        <v>4471.3305</v>
      </c>
      <c r="L43" s="45">
        <f t="shared" si="16"/>
        <v>5738.089500000001</v>
      </c>
      <c r="M43" s="45">
        <f t="shared" si="17"/>
        <v>6345.231750000002</v>
      </c>
      <c r="N43" s="45">
        <f t="shared" si="18"/>
        <v>7619.040000000001</v>
      </c>
      <c r="O43" s="45">
        <f t="shared" si="19"/>
        <v>10543.923</v>
      </c>
      <c r="P43" s="45">
        <f t="shared" si="20"/>
        <v>12774.878999999999</v>
      </c>
      <c r="Q43" s="45">
        <f t="shared" si="21"/>
        <v>14580.890999999998</v>
      </c>
      <c r="R43" s="45">
        <f t="shared" si="22"/>
        <v>17409.4245</v>
      </c>
    </row>
    <row r="44" spans="1:18" ht="12.75">
      <c r="A44" s="50">
        <v>2000</v>
      </c>
      <c r="B44" s="51">
        <v>2.62</v>
      </c>
      <c r="C44" s="51">
        <v>3.09</v>
      </c>
      <c r="D44" s="51">
        <v>3.56</v>
      </c>
      <c r="E44" s="51">
        <v>4.04</v>
      </c>
      <c r="F44" s="51">
        <v>4.5</v>
      </c>
      <c r="G44" s="48">
        <f t="shared" si="23"/>
        <v>41</v>
      </c>
      <c r="H44" s="45">
        <f t="shared" si="12"/>
        <v>825.3</v>
      </c>
      <c r="I44" s="45">
        <f t="shared" si="13"/>
        <v>2132.1</v>
      </c>
      <c r="J44" s="45">
        <f t="shared" si="14"/>
        <v>4005</v>
      </c>
      <c r="K44" s="45">
        <f t="shared" si="15"/>
        <v>4560.36</v>
      </c>
      <c r="L44" s="45">
        <f t="shared" si="16"/>
        <v>5841.84</v>
      </c>
      <c r="M44" s="45">
        <f t="shared" si="17"/>
        <v>6459.96</v>
      </c>
      <c r="N44" s="45">
        <f t="shared" si="18"/>
        <v>7756.8</v>
      </c>
      <c r="O44" s="45">
        <f t="shared" si="19"/>
        <v>10719</v>
      </c>
      <c r="P44" s="45">
        <f t="shared" si="20"/>
        <v>12987</v>
      </c>
      <c r="Q44" s="45">
        <f t="shared" si="21"/>
        <v>14823</v>
      </c>
      <c r="R44" s="45">
        <f t="shared" si="22"/>
        <v>17698.5</v>
      </c>
    </row>
    <row r="45" spans="1:18" ht="12.75">
      <c r="A45" s="50">
        <v>2100</v>
      </c>
      <c r="B45" s="51">
        <v>2.6</v>
      </c>
      <c r="C45" s="51">
        <v>3.04</v>
      </c>
      <c r="D45" s="51">
        <v>3.5</v>
      </c>
      <c r="E45" s="51">
        <v>3.97</v>
      </c>
      <c r="F45" s="51">
        <v>4.43</v>
      </c>
      <c r="G45" s="48">
        <f t="shared" si="23"/>
        <v>42</v>
      </c>
      <c r="H45" s="45">
        <f t="shared" si="12"/>
        <v>859.95</v>
      </c>
      <c r="I45" s="45">
        <f t="shared" si="13"/>
        <v>2202.48</v>
      </c>
      <c r="J45" s="45">
        <f t="shared" si="14"/>
        <v>4134.375</v>
      </c>
      <c r="K45" s="45">
        <f t="shared" si="15"/>
        <v>4707.675</v>
      </c>
      <c r="L45" s="45">
        <f t="shared" si="16"/>
        <v>6027.651</v>
      </c>
      <c r="M45" s="45">
        <f t="shared" si="17"/>
        <v>6665.431500000001</v>
      </c>
      <c r="N45" s="45">
        <f t="shared" si="18"/>
        <v>8003.52</v>
      </c>
      <c r="O45" s="45">
        <f t="shared" si="19"/>
        <v>11079.873</v>
      </c>
      <c r="P45" s="45">
        <f t="shared" si="20"/>
        <v>13424.229</v>
      </c>
      <c r="Q45" s="45">
        <f t="shared" si="21"/>
        <v>15322.041</v>
      </c>
      <c r="R45" s="45">
        <f t="shared" si="22"/>
        <v>18294.3495</v>
      </c>
    </row>
    <row r="46" spans="1:18" ht="12.75">
      <c r="A46" s="50">
        <v>2200</v>
      </c>
      <c r="B46" s="51">
        <v>2.54</v>
      </c>
      <c r="C46" s="51">
        <v>2.99</v>
      </c>
      <c r="D46" s="51">
        <v>3.44</v>
      </c>
      <c r="E46" s="51">
        <v>3.91</v>
      </c>
      <c r="F46" s="51">
        <v>4.35</v>
      </c>
      <c r="G46" s="48">
        <f t="shared" si="23"/>
        <v>43</v>
      </c>
      <c r="H46" s="45">
        <f t="shared" si="12"/>
        <v>880.11</v>
      </c>
      <c r="I46" s="45">
        <f t="shared" si="13"/>
        <v>2269.4100000000003</v>
      </c>
      <c r="J46" s="45">
        <f t="shared" si="14"/>
        <v>4257</v>
      </c>
      <c r="K46" s="45">
        <f t="shared" si="15"/>
        <v>4847.304</v>
      </c>
      <c r="L46" s="45">
        <f t="shared" si="16"/>
        <v>6219.246</v>
      </c>
      <c r="M46" s="45">
        <f t="shared" si="17"/>
        <v>6877.299</v>
      </c>
      <c r="N46" s="45">
        <f t="shared" si="18"/>
        <v>8257.92</v>
      </c>
      <c r="O46" s="45">
        <f t="shared" si="19"/>
        <v>11397.87</v>
      </c>
      <c r="P46" s="45">
        <f t="shared" si="20"/>
        <v>13809.51</v>
      </c>
      <c r="Q46" s="45">
        <f t="shared" si="21"/>
        <v>15761.79</v>
      </c>
      <c r="R46" s="45">
        <f t="shared" si="22"/>
        <v>18819.405</v>
      </c>
    </row>
    <row r="47" spans="1:18" ht="12.75">
      <c r="A47" s="50">
        <v>2300</v>
      </c>
      <c r="B47" s="51">
        <v>2.5</v>
      </c>
      <c r="C47" s="51">
        <v>2.94</v>
      </c>
      <c r="D47" s="51">
        <v>3.38</v>
      </c>
      <c r="E47" s="51">
        <v>3.84</v>
      </c>
      <c r="F47" s="51">
        <v>4.28</v>
      </c>
      <c r="G47" s="48">
        <f t="shared" si="23"/>
        <v>44</v>
      </c>
      <c r="H47" s="45">
        <f t="shared" si="12"/>
        <v>905.625</v>
      </c>
      <c r="I47" s="45">
        <f t="shared" si="13"/>
        <v>2332.89</v>
      </c>
      <c r="J47" s="45">
        <f t="shared" si="14"/>
        <v>4372.875</v>
      </c>
      <c r="K47" s="45">
        <f t="shared" si="15"/>
        <v>4979.246999999999</v>
      </c>
      <c r="L47" s="45">
        <f t="shared" si="16"/>
        <v>6385.536</v>
      </c>
      <c r="M47" s="45">
        <f t="shared" si="17"/>
        <v>7061.184</v>
      </c>
      <c r="N47" s="45">
        <f t="shared" si="18"/>
        <v>8478.72</v>
      </c>
      <c r="O47" s="45">
        <f t="shared" si="19"/>
        <v>11724.204</v>
      </c>
      <c r="P47" s="45">
        <f t="shared" si="20"/>
        <v>14204.892</v>
      </c>
      <c r="Q47" s="45">
        <f t="shared" si="21"/>
        <v>16213.068000000001</v>
      </c>
      <c r="R47" s="45">
        <f t="shared" si="22"/>
        <v>19358.226</v>
      </c>
    </row>
    <row r="48" spans="1:18" ht="12.75">
      <c r="A48" s="50">
        <v>2400</v>
      </c>
      <c r="B48" s="51">
        <v>2.46</v>
      </c>
      <c r="C48" s="51">
        <v>2.89</v>
      </c>
      <c r="D48" s="51">
        <v>3.32</v>
      </c>
      <c r="E48" s="51">
        <v>3.77</v>
      </c>
      <c r="F48" s="51">
        <v>4.2</v>
      </c>
      <c r="G48" s="48">
        <f t="shared" si="23"/>
        <v>45</v>
      </c>
      <c r="H48" s="45">
        <f t="shared" si="12"/>
        <v>929.88</v>
      </c>
      <c r="I48" s="45">
        <f t="shared" si="13"/>
        <v>2392.92</v>
      </c>
      <c r="J48" s="45">
        <f t="shared" si="14"/>
        <v>4482</v>
      </c>
      <c r="K48" s="45">
        <f t="shared" si="15"/>
        <v>5103.504</v>
      </c>
      <c r="L48" s="45">
        <f t="shared" si="16"/>
        <v>6541.704000000001</v>
      </c>
      <c r="M48" s="45">
        <f t="shared" si="17"/>
        <v>7233.876</v>
      </c>
      <c r="N48" s="45">
        <f t="shared" si="18"/>
        <v>8686.08</v>
      </c>
      <c r="O48" s="45">
        <f t="shared" si="19"/>
        <v>12005.28</v>
      </c>
      <c r="P48" s="45">
        <f t="shared" si="20"/>
        <v>14545.44</v>
      </c>
      <c r="Q48" s="45">
        <f t="shared" si="21"/>
        <v>16601.76</v>
      </c>
      <c r="R48" s="45">
        <f t="shared" si="22"/>
        <v>19822.32</v>
      </c>
    </row>
    <row r="49" spans="1:18" ht="12.75">
      <c r="A49" s="50">
        <v>2500</v>
      </c>
      <c r="B49" s="51">
        <v>2.42</v>
      </c>
      <c r="C49" s="51">
        <v>2.84</v>
      </c>
      <c r="D49" s="51">
        <v>3.27</v>
      </c>
      <c r="E49" s="51">
        <v>3.7</v>
      </c>
      <c r="F49" s="51">
        <v>4.12</v>
      </c>
      <c r="G49" s="48">
        <f t="shared" si="23"/>
        <v>46</v>
      </c>
      <c r="H49" s="45">
        <f t="shared" si="12"/>
        <v>952.875</v>
      </c>
      <c r="I49" s="45">
        <f t="shared" si="13"/>
        <v>2449.5</v>
      </c>
      <c r="J49" s="45">
        <f t="shared" si="14"/>
        <v>4598.4375</v>
      </c>
      <c r="K49" s="45">
        <f t="shared" si="15"/>
        <v>5236.0875</v>
      </c>
      <c r="L49" s="45">
        <f t="shared" si="16"/>
        <v>6687.75</v>
      </c>
      <c r="M49" s="45">
        <f t="shared" si="17"/>
        <v>7395.375</v>
      </c>
      <c r="N49" s="45">
        <f t="shared" si="18"/>
        <v>8880</v>
      </c>
      <c r="O49" s="45">
        <f t="shared" si="19"/>
        <v>12267.3</v>
      </c>
      <c r="P49" s="45">
        <f t="shared" si="20"/>
        <v>14862.9</v>
      </c>
      <c r="Q49" s="45">
        <f t="shared" si="21"/>
        <v>16964.1</v>
      </c>
      <c r="R49" s="45">
        <f t="shared" si="22"/>
        <v>20254.95</v>
      </c>
    </row>
    <row r="50" spans="1:18" ht="12.75" hidden="1">
      <c r="A50" s="52">
        <v>2750</v>
      </c>
      <c r="B50" s="53">
        <f>B49+($A50-$A49)*(B55-B49)/($A55-$A49)</f>
        <v>2.375</v>
      </c>
      <c r="C50" s="53">
        <f>C49+($A50-$A49)*(C55-C49)/($A55-$A49)</f>
        <v>2.79</v>
      </c>
      <c r="D50" s="53">
        <f>D49+($A50-$A49)*(D55-D49)/($A55-$A49)</f>
        <v>3.205</v>
      </c>
      <c r="E50" s="53">
        <f>E49+($A50-$A49)*(E55-E49)/($A55-$A49)</f>
        <v>3.625</v>
      </c>
      <c r="F50" s="53">
        <f>F49+($A50-$A49)*(F55-F49)/($A55-$A49)</f>
        <v>4.035</v>
      </c>
      <c r="G50" s="48">
        <f t="shared" si="23"/>
        <v>47</v>
      </c>
      <c r="H50" s="45">
        <f t="shared" si="12"/>
        <v>1028.671875</v>
      </c>
      <c r="I50" s="45">
        <f t="shared" si="13"/>
        <v>2647.0125</v>
      </c>
      <c r="J50" s="45">
        <f t="shared" si="14"/>
        <v>4957.734375</v>
      </c>
      <c r="K50" s="45">
        <f t="shared" si="15"/>
        <v>5645.206875</v>
      </c>
      <c r="L50" s="45">
        <f t="shared" si="16"/>
        <v>7207.40625</v>
      </c>
      <c r="M50" s="45">
        <f t="shared" si="17"/>
        <v>7970.015625</v>
      </c>
      <c r="N50" s="45">
        <f t="shared" si="18"/>
        <v>9570</v>
      </c>
      <c r="O50" s="45">
        <f t="shared" si="19"/>
        <v>13215.63375</v>
      </c>
      <c r="P50" s="45">
        <f t="shared" si="20"/>
        <v>16011.88875</v>
      </c>
      <c r="Q50" s="45">
        <f t="shared" si="21"/>
        <v>18275.52375</v>
      </c>
      <c r="R50" s="45">
        <f t="shared" si="22"/>
        <v>21820.775625</v>
      </c>
    </row>
    <row r="51" spans="1:18" s="49" customFormat="1" ht="12.75">
      <c r="A51" s="45">
        <v>2600</v>
      </c>
      <c r="B51" s="46">
        <v>2.4</v>
      </c>
      <c r="C51" s="46">
        <v>2.82</v>
      </c>
      <c r="D51" s="46">
        <v>3.25</v>
      </c>
      <c r="E51" s="46">
        <v>3.67</v>
      </c>
      <c r="F51" s="46">
        <v>4.09</v>
      </c>
      <c r="G51" s="48">
        <f t="shared" si="23"/>
        <v>48</v>
      </c>
      <c r="H51" s="45">
        <f t="shared" si="12"/>
        <v>982.8</v>
      </c>
      <c r="I51" s="45">
        <f t="shared" si="13"/>
        <v>2529.54</v>
      </c>
      <c r="J51" s="45">
        <f t="shared" si="14"/>
        <v>4753.125</v>
      </c>
      <c r="K51" s="45">
        <f t="shared" si="15"/>
        <v>5412.225</v>
      </c>
      <c r="L51" s="45">
        <f t="shared" si="16"/>
        <v>6898.866</v>
      </c>
      <c r="M51" s="45">
        <f t="shared" si="17"/>
        <v>7628.829000000001</v>
      </c>
      <c r="N51" s="45">
        <f t="shared" si="18"/>
        <v>9160.32</v>
      </c>
      <c r="O51" s="45">
        <f t="shared" si="19"/>
        <v>12665.094</v>
      </c>
      <c r="P51" s="45">
        <f t="shared" si="20"/>
        <v>15344.862</v>
      </c>
      <c r="Q51" s="45">
        <f t="shared" si="21"/>
        <v>17514.198</v>
      </c>
      <c r="R51" s="45">
        <f t="shared" si="22"/>
        <v>20911.761</v>
      </c>
    </row>
    <row r="52" spans="1:18" s="49" customFormat="1" ht="12.75">
      <c r="A52" s="45">
        <v>2700</v>
      </c>
      <c r="B52" s="46">
        <v>2.38</v>
      </c>
      <c r="C52" s="46">
        <v>2.8</v>
      </c>
      <c r="D52" s="46">
        <v>3.22</v>
      </c>
      <c r="E52" s="46">
        <v>3.64</v>
      </c>
      <c r="F52" s="46">
        <v>4.05</v>
      </c>
      <c r="G52" s="48">
        <f t="shared" si="23"/>
        <v>49</v>
      </c>
      <c r="H52" s="45">
        <f t="shared" si="12"/>
        <v>1012.095</v>
      </c>
      <c r="I52" s="45">
        <f t="shared" si="13"/>
        <v>2608.1999999999994</v>
      </c>
      <c r="J52" s="45">
        <f t="shared" si="14"/>
        <v>4890.375</v>
      </c>
      <c r="K52" s="45">
        <f t="shared" si="15"/>
        <v>5568.507</v>
      </c>
      <c r="L52" s="45">
        <f t="shared" si="16"/>
        <v>7105.644</v>
      </c>
      <c r="M52" s="45">
        <f t="shared" si="17"/>
        <v>7857.486</v>
      </c>
      <c r="N52" s="45">
        <f t="shared" si="18"/>
        <v>9434.88</v>
      </c>
      <c r="O52" s="45">
        <f t="shared" si="19"/>
        <v>13023.585</v>
      </c>
      <c r="P52" s="45">
        <f t="shared" si="20"/>
        <v>15779.205</v>
      </c>
      <c r="Q52" s="45">
        <f t="shared" si="21"/>
        <v>18009.945</v>
      </c>
      <c r="R52" s="45">
        <f t="shared" si="22"/>
        <v>21503.6775</v>
      </c>
    </row>
    <row r="53" spans="1:18" s="49" customFormat="1" ht="12.75">
      <c r="A53" s="45">
        <v>2800</v>
      </c>
      <c r="B53" s="46">
        <v>2.37</v>
      </c>
      <c r="C53" s="46">
        <v>2.78</v>
      </c>
      <c r="D53" s="46">
        <v>3.2</v>
      </c>
      <c r="E53" s="46">
        <v>3.61</v>
      </c>
      <c r="F53" s="46">
        <v>4.02</v>
      </c>
      <c r="G53" s="48">
        <f t="shared" si="23"/>
        <v>50</v>
      </c>
      <c r="H53" s="45">
        <f t="shared" si="12"/>
        <v>1045.17</v>
      </c>
      <c r="I53" s="45">
        <f t="shared" si="13"/>
        <v>2685.4799999999996</v>
      </c>
      <c r="J53" s="45">
        <f t="shared" si="14"/>
        <v>5040</v>
      </c>
      <c r="K53" s="45">
        <f t="shared" si="15"/>
        <v>5738.88</v>
      </c>
      <c r="L53" s="45">
        <f t="shared" si="16"/>
        <v>7308.084</v>
      </c>
      <c r="M53" s="45">
        <f t="shared" si="17"/>
        <v>8081.346</v>
      </c>
      <c r="N53" s="45">
        <f t="shared" si="18"/>
        <v>9703.68</v>
      </c>
      <c r="O53" s="45">
        <f t="shared" si="19"/>
        <v>13405.895999999997</v>
      </c>
      <c r="P53" s="45">
        <f t="shared" si="20"/>
        <v>16242.407999999996</v>
      </c>
      <c r="Q53" s="45">
        <f t="shared" si="21"/>
        <v>18538.631999999998</v>
      </c>
      <c r="R53" s="45">
        <f t="shared" si="22"/>
        <v>22134.923999999995</v>
      </c>
    </row>
    <row r="54" spans="1:18" s="49" customFormat="1" ht="12.75">
      <c r="A54" s="45">
        <v>2900</v>
      </c>
      <c r="B54" s="46">
        <v>2.35</v>
      </c>
      <c r="C54" s="46">
        <v>2.76</v>
      </c>
      <c r="D54" s="46">
        <v>3.17</v>
      </c>
      <c r="E54" s="46">
        <v>3.58</v>
      </c>
      <c r="F54" s="46">
        <v>3.98</v>
      </c>
      <c r="G54" s="48">
        <f t="shared" si="23"/>
        <v>51</v>
      </c>
      <c r="H54" s="45">
        <f t="shared" si="12"/>
        <v>1073.3625</v>
      </c>
      <c r="I54" s="45">
        <f t="shared" si="13"/>
        <v>2761.379999999999</v>
      </c>
      <c r="J54" s="45">
        <f t="shared" si="14"/>
        <v>5171.0625</v>
      </c>
      <c r="K54" s="45">
        <f t="shared" si="15"/>
        <v>5888.1165</v>
      </c>
      <c r="L54" s="45">
        <f t="shared" si="16"/>
        <v>7506.186</v>
      </c>
      <c r="M54" s="45">
        <f t="shared" si="17"/>
        <v>8300.409</v>
      </c>
      <c r="N54" s="45">
        <f t="shared" si="18"/>
        <v>9966.72</v>
      </c>
      <c r="O54" s="45">
        <f t="shared" si="19"/>
        <v>13746.521999999999</v>
      </c>
      <c r="P54" s="45">
        <f t="shared" si="20"/>
        <v>16655.106</v>
      </c>
      <c r="Q54" s="45">
        <f t="shared" si="21"/>
        <v>19009.674</v>
      </c>
      <c r="R54" s="45">
        <f t="shared" si="22"/>
        <v>22697.342999999997</v>
      </c>
    </row>
    <row r="55" spans="1:18" ht="12.75">
      <c r="A55" s="50">
        <v>3000</v>
      </c>
      <c r="B55" s="51">
        <v>2.33</v>
      </c>
      <c r="C55" s="51">
        <v>2.74</v>
      </c>
      <c r="D55" s="51">
        <v>3.14</v>
      </c>
      <c r="E55" s="51">
        <v>3.55</v>
      </c>
      <c r="F55" s="51">
        <v>3.95</v>
      </c>
      <c r="G55" s="48">
        <f t="shared" si="23"/>
        <v>52</v>
      </c>
      <c r="H55" s="45">
        <f t="shared" si="12"/>
        <v>1100.925</v>
      </c>
      <c r="I55" s="45">
        <f t="shared" si="13"/>
        <v>2835.9</v>
      </c>
      <c r="J55" s="45">
        <f t="shared" si="14"/>
        <v>5298.75</v>
      </c>
      <c r="K55" s="45">
        <f t="shared" si="15"/>
        <v>6033.51</v>
      </c>
      <c r="L55" s="45">
        <f t="shared" si="16"/>
        <v>7699.95</v>
      </c>
      <c r="M55" s="45">
        <f t="shared" si="17"/>
        <v>8514.675</v>
      </c>
      <c r="N55" s="45">
        <f t="shared" si="18"/>
        <v>10224</v>
      </c>
      <c r="O55" s="45">
        <f t="shared" si="19"/>
        <v>14113.35</v>
      </c>
      <c r="P55" s="45">
        <f t="shared" si="20"/>
        <v>17099.55</v>
      </c>
      <c r="Q55" s="45">
        <f t="shared" si="21"/>
        <v>19516.95</v>
      </c>
      <c r="R55" s="45">
        <f t="shared" si="22"/>
        <v>23303.025</v>
      </c>
    </row>
    <row r="56" spans="1:18" ht="12.75">
      <c r="A56" s="50">
        <v>3100</v>
      </c>
      <c r="B56" s="51">
        <v>2.32</v>
      </c>
      <c r="C56" s="51">
        <v>2.72</v>
      </c>
      <c r="D56" s="51">
        <v>3.12</v>
      </c>
      <c r="E56" s="51">
        <v>3.52</v>
      </c>
      <c r="F56" s="51">
        <v>3.91</v>
      </c>
      <c r="G56" s="48">
        <f t="shared" si="23"/>
        <v>53</v>
      </c>
      <c r="H56" s="45">
        <f t="shared" si="12"/>
        <v>1132.7399999999998</v>
      </c>
      <c r="I56" s="45">
        <f t="shared" si="13"/>
        <v>2909.04</v>
      </c>
      <c r="J56" s="45">
        <f t="shared" si="14"/>
        <v>5440.5</v>
      </c>
      <c r="K56" s="45">
        <f t="shared" si="15"/>
        <v>6194.916</v>
      </c>
      <c r="L56" s="45">
        <f t="shared" si="16"/>
        <v>7889.376</v>
      </c>
      <c r="M56" s="45">
        <f t="shared" si="17"/>
        <v>8724.144</v>
      </c>
      <c r="N56" s="45">
        <f t="shared" si="18"/>
        <v>10475.52</v>
      </c>
      <c r="O56" s="45">
        <f t="shared" si="19"/>
        <v>14436.110999999999</v>
      </c>
      <c r="P56" s="45">
        <f t="shared" si="20"/>
        <v>17490.603</v>
      </c>
      <c r="Q56" s="45">
        <f t="shared" si="21"/>
        <v>19963.287</v>
      </c>
      <c r="R56" s="45">
        <f t="shared" si="22"/>
        <v>23835.9465</v>
      </c>
    </row>
    <row r="57" spans="1:18" ht="12.75">
      <c r="A57" s="50">
        <v>3200</v>
      </c>
      <c r="B57" s="51">
        <v>2.3</v>
      </c>
      <c r="C57" s="51">
        <v>2.7</v>
      </c>
      <c r="D57" s="51">
        <v>3.09</v>
      </c>
      <c r="E57" s="51">
        <v>3.49</v>
      </c>
      <c r="F57" s="51">
        <v>3.88</v>
      </c>
      <c r="G57" s="48">
        <f t="shared" si="23"/>
        <v>54</v>
      </c>
      <c r="H57" s="45">
        <f t="shared" si="12"/>
        <v>1159.1999999999998</v>
      </c>
      <c r="I57" s="45">
        <f t="shared" si="13"/>
        <v>2980.8</v>
      </c>
      <c r="J57" s="45">
        <f t="shared" si="14"/>
        <v>5562</v>
      </c>
      <c r="K57" s="45">
        <f t="shared" si="15"/>
        <v>6333.264</v>
      </c>
      <c r="L57" s="45">
        <f t="shared" si="16"/>
        <v>8074.464</v>
      </c>
      <c r="M57" s="45">
        <f t="shared" si="17"/>
        <v>8928.815999999999</v>
      </c>
      <c r="N57" s="45">
        <f t="shared" si="18"/>
        <v>10721.28</v>
      </c>
      <c r="O57" s="45">
        <f t="shared" si="19"/>
        <v>14787.455999999998</v>
      </c>
      <c r="P57" s="45">
        <f t="shared" si="20"/>
        <v>17916.288</v>
      </c>
      <c r="Q57" s="45">
        <f t="shared" si="21"/>
        <v>20449.152</v>
      </c>
      <c r="R57" s="45">
        <f t="shared" si="22"/>
        <v>24416.064</v>
      </c>
    </row>
    <row r="58" spans="1:18" ht="12.75">
      <c r="A58" s="50">
        <v>3300</v>
      </c>
      <c r="B58" s="51">
        <v>2.28</v>
      </c>
      <c r="C58" s="51">
        <v>2.68</v>
      </c>
      <c r="D58" s="51">
        <v>3.07</v>
      </c>
      <c r="E58" s="51">
        <v>3.46</v>
      </c>
      <c r="F58" s="51">
        <v>3.84</v>
      </c>
      <c r="G58" s="48">
        <f t="shared" si="23"/>
        <v>55</v>
      </c>
      <c r="H58" s="45">
        <f t="shared" si="12"/>
        <v>1185.0299999999997</v>
      </c>
      <c r="I58" s="45">
        <f t="shared" si="13"/>
        <v>3051.18</v>
      </c>
      <c r="J58" s="45">
        <f t="shared" si="14"/>
        <v>5698.6875</v>
      </c>
      <c r="K58" s="45">
        <f t="shared" si="15"/>
        <v>6488.905499999999</v>
      </c>
      <c r="L58" s="45">
        <f t="shared" si="16"/>
        <v>8255.214</v>
      </c>
      <c r="M58" s="45">
        <f t="shared" si="17"/>
        <v>9128.690999999999</v>
      </c>
      <c r="N58" s="45">
        <f t="shared" si="18"/>
        <v>10961.28</v>
      </c>
      <c r="O58" s="45">
        <f t="shared" si="19"/>
        <v>15092.351999999999</v>
      </c>
      <c r="P58" s="45">
        <f t="shared" si="20"/>
        <v>18285.696</v>
      </c>
      <c r="Q58" s="45">
        <f t="shared" si="21"/>
        <v>20870.784</v>
      </c>
      <c r="R58" s="45">
        <f t="shared" si="22"/>
        <v>24919.487999999998</v>
      </c>
    </row>
    <row r="59" spans="1:18" ht="12.75">
      <c r="A59" s="50">
        <v>3400</v>
      </c>
      <c r="B59" s="51">
        <v>2.26</v>
      </c>
      <c r="C59" s="51">
        <v>2.66</v>
      </c>
      <c r="D59" s="51">
        <v>3.04</v>
      </c>
      <c r="E59" s="51">
        <v>3.43</v>
      </c>
      <c r="F59" s="51">
        <v>3.81</v>
      </c>
      <c r="G59" s="48">
        <f t="shared" si="23"/>
        <v>56</v>
      </c>
      <c r="H59" s="45">
        <f t="shared" si="12"/>
        <v>1210.2299999999998</v>
      </c>
      <c r="I59" s="45">
        <f t="shared" si="13"/>
        <v>3120.18</v>
      </c>
      <c r="J59" s="45">
        <f t="shared" si="14"/>
        <v>5814</v>
      </c>
      <c r="K59" s="45">
        <f t="shared" si="15"/>
        <v>6620.208</v>
      </c>
      <c r="L59" s="45">
        <f t="shared" si="16"/>
        <v>8431.626</v>
      </c>
      <c r="M59" s="45">
        <f t="shared" si="17"/>
        <v>9323.769</v>
      </c>
      <c r="N59" s="45">
        <f t="shared" si="18"/>
        <v>11195.52</v>
      </c>
      <c r="O59" s="45">
        <f t="shared" si="19"/>
        <v>15428.214</v>
      </c>
      <c r="P59" s="45">
        <f t="shared" si="20"/>
        <v>18692.622</v>
      </c>
      <c r="Q59" s="45">
        <f t="shared" si="21"/>
        <v>21335.237999999998</v>
      </c>
      <c r="R59" s="45">
        <f t="shared" si="22"/>
        <v>25474.041</v>
      </c>
    </row>
    <row r="60" spans="1:18" ht="12.75">
      <c r="A60" s="50">
        <v>3500</v>
      </c>
      <c r="B60" s="51">
        <v>2.25</v>
      </c>
      <c r="C60" s="51">
        <v>2.63</v>
      </c>
      <c r="D60" s="51">
        <v>3.01</v>
      </c>
      <c r="E60" s="51">
        <v>3.4</v>
      </c>
      <c r="F60" s="51">
        <v>3.77</v>
      </c>
      <c r="G60" s="48">
        <f t="shared" si="23"/>
        <v>57</v>
      </c>
      <c r="H60" s="45">
        <f t="shared" si="12"/>
        <v>1240.3125</v>
      </c>
      <c r="I60" s="45">
        <f t="shared" si="13"/>
        <v>3175.725</v>
      </c>
      <c r="J60" s="45">
        <f t="shared" si="14"/>
        <v>5925.9375</v>
      </c>
      <c r="K60" s="45">
        <f t="shared" si="15"/>
        <v>6747.6675</v>
      </c>
      <c r="L60" s="45">
        <f t="shared" si="16"/>
        <v>8603.7</v>
      </c>
      <c r="M60" s="45">
        <f t="shared" si="17"/>
        <v>9514.05</v>
      </c>
      <c r="N60" s="45">
        <f t="shared" si="18"/>
        <v>11424</v>
      </c>
      <c r="O60" s="45">
        <f t="shared" si="19"/>
        <v>15715.245</v>
      </c>
      <c r="P60" s="45">
        <f t="shared" si="20"/>
        <v>19040.385</v>
      </c>
      <c r="Q60" s="45">
        <f t="shared" si="21"/>
        <v>21732.165</v>
      </c>
      <c r="R60" s="45">
        <f t="shared" si="22"/>
        <v>25947.9675</v>
      </c>
    </row>
    <row r="61" spans="1:18" ht="12.75">
      <c r="A61" s="50">
        <v>3600</v>
      </c>
      <c r="B61" s="51">
        <v>2.23</v>
      </c>
      <c r="C61" s="51">
        <v>2.61</v>
      </c>
      <c r="D61" s="51">
        <v>2.99</v>
      </c>
      <c r="E61" s="51">
        <v>3.37</v>
      </c>
      <c r="F61" s="51">
        <v>3.74</v>
      </c>
      <c r="G61" s="48">
        <f t="shared" si="23"/>
        <v>58</v>
      </c>
      <c r="H61" s="45">
        <f t="shared" si="12"/>
        <v>1264.41</v>
      </c>
      <c r="I61" s="45">
        <f t="shared" si="13"/>
        <v>3241.62</v>
      </c>
      <c r="J61" s="45">
        <f t="shared" si="14"/>
        <v>6054.75</v>
      </c>
      <c r="K61" s="45">
        <f t="shared" si="15"/>
        <v>6894.342</v>
      </c>
      <c r="L61" s="45">
        <f t="shared" si="16"/>
        <v>8771.436</v>
      </c>
      <c r="M61" s="45">
        <f t="shared" si="17"/>
        <v>9699.534</v>
      </c>
      <c r="N61" s="45">
        <f t="shared" si="18"/>
        <v>11646.72</v>
      </c>
      <c r="O61" s="45">
        <f t="shared" si="19"/>
        <v>16035.624</v>
      </c>
      <c r="P61" s="45">
        <f t="shared" si="20"/>
        <v>19428.552</v>
      </c>
      <c r="Q61" s="45">
        <f t="shared" si="21"/>
        <v>22175.208</v>
      </c>
      <c r="R61" s="45">
        <f t="shared" si="22"/>
        <v>26476.956000000002</v>
      </c>
    </row>
    <row r="62" spans="1:18" ht="12.75">
      <c r="A62" s="50">
        <v>3700</v>
      </c>
      <c r="B62" s="51">
        <v>2.21</v>
      </c>
      <c r="C62" s="51">
        <v>2.59</v>
      </c>
      <c r="D62" s="51">
        <v>2.96</v>
      </c>
      <c r="E62" s="51">
        <v>3.34</v>
      </c>
      <c r="F62" s="51">
        <v>3.7</v>
      </c>
      <c r="G62" s="48">
        <f t="shared" si="23"/>
        <v>59</v>
      </c>
      <c r="H62" s="45">
        <f t="shared" si="12"/>
        <v>1287.8775</v>
      </c>
      <c r="I62" s="45">
        <f t="shared" si="13"/>
        <v>3306.135</v>
      </c>
      <c r="J62" s="45">
        <f t="shared" si="14"/>
        <v>6160.5</v>
      </c>
      <c r="K62" s="45">
        <f t="shared" si="15"/>
        <v>7014.755999999999</v>
      </c>
      <c r="L62" s="45">
        <f t="shared" si="16"/>
        <v>8934.834</v>
      </c>
      <c r="M62" s="45">
        <f t="shared" si="17"/>
        <v>9880.221</v>
      </c>
      <c r="N62" s="45">
        <f t="shared" si="18"/>
        <v>11863.68</v>
      </c>
      <c r="O62" s="45">
        <f t="shared" si="19"/>
        <v>16304.79</v>
      </c>
      <c r="P62" s="45">
        <f t="shared" si="20"/>
        <v>19754.67</v>
      </c>
      <c r="Q62" s="45">
        <f t="shared" si="21"/>
        <v>22547.43</v>
      </c>
      <c r="R62" s="45">
        <f t="shared" si="22"/>
        <v>26921.385</v>
      </c>
    </row>
    <row r="63" spans="1:18" ht="12.75">
      <c r="A63" s="50">
        <v>3800</v>
      </c>
      <c r="B63" s="51">
        <v>2.2</v>
      </c>
      <c r="C63" s="51">
        <v>2.57</v>
      </c>
      <c r="D63" s="51">
        <v>2.94</v>
      </c>
      <c r="E63" s="51">
        <v>3.3</v>
      </c>
      <c r="F63" s="51">
        <v>3.67</v>
      </c>
      <c r="G63" s="48">
        <f t="shared" si="23"/>
        <v>60</v>
      </c>
      <c r="H63" s="45">
        <f t="shared" si="12"/>
        <v>1316.7</v>
      </c>
      <c r="I63" s="45">
        <f t="shared" si="13"/>
        <v>3369.27</v>
      </c>
      <c r="J63" s="45">
        <f t="shared" si="14"/>
        <v>6284.25</v>
      </c>
      <c r="K63" s="45">
        <f t="shared" si="15"/>
        <v>7155.666</v>
      </c>
      <c r="L63" s="45">
        <f t="shared" si="16"/>
        <v>9066.42</v>
      </c>
      <c r="M63" s="45">
        <f t="shared" si="17"/>
        <v>10025.73</v>
      </c>
      <c r="N63" s="45">
        <f t="shared" si="18"/>
        <v>12038.4</v>
      </c>
      <c r="O63" s="45">
        <f t="shared" si="19"/>
        <v>16609.685999999998</v>
      </c>
      <c r="P63" s="45">
        <f t="shared" si="20"/>
        <v>20124.077999999998</v>
      </c>
      <c r="Q63" s="45">
        <f t="shared" si="21"/>
        <v>22969.061999999998</v>
      </c>
      <c r="R63" s="45">
        <f t="shared" si="22"/>
        <v>27424.808999999997</v>
      </c>
    </row>
    <row r="64" spans="1:18" ht="12.75">
      <c r="A64" s="50">
        <v>3900</v>
      </c>
      <c r="B64" s="51">
        <v>2.18</v>
      </c>
      <c r="C64" s="51">
        <v>2.55</v>
      </c>
      <c r="D64" s="51">
        <v>2.91</v>
      </c>
      <c r="E64" s="51">
        <v>3.27</v>
      </c>
      <c r="F64" s="51">
        <v>3.63</v>
      </c>
      <c r="G64" s="48">
        <f t="shared" si="23"/>
        <v>61</v>
      </c>
      <c r="H64" s="45">
        <f t="shared" si="12"/>
        <v>1339.065</v>
      </c>
      <c r="I64" s="45">
        <f t="shared" si="13"/>
        <v>3431.025</v>
      </c>
      <c r="J64" s="45">
        <f t="shared" si="14"/>
        <v>6383.8125</v>
      </c>
      <c r="K64" s="45">
        <f t="shared" si="15"/>
        <v>7269.0345</v>
      </c>
      <c r="L64" s="45">
        <f t="shared" si="16"/>
        <v>9220.419</v>
      </c>
      <c r="M64" s="45">
        <f t="shared" si="17"/>
        <v>10196.0235</v>
      </c>
      <c r="N64" s="45">
        <f t="shared" si="18"/>
        <v>12242.88</v>
      </c>
      <c r="O64" s="45">
        <f t="shared" si="19"/>
        <v>16860.987</v>
      </c>
      <c r="P64" s="45">
        <f t="shared" si="20"/>
        <v>20428.551</v>
      </c>
      <c r="Q64" s="45">
        <f t="shared" si="21"/>
        <v>23316.578999999998</v>
      </c>
      <c r="R64" s="45">
        <f t="shared" si="22"/>
        <v>27839.7405</v>
      </c>
    </row>
    <row r="65" spans="1:18" ht="12.75">
      <c r="A65" s="50">
        <v>4000</v>
      </c>
      <c r="B65" s="51">
        <v>2.16</v>
      </c>
      <c r="C65" s="51">
        <v>2.53</v>
      </c>
      <c r="D65" s="51">
        <v>2.88</v>
      </c>
      <c r="E65" s="51">
        <v>3.24</v>
      </c>
      <c r="F65" s="51">
        <v>3.6</v>
      </c>
      <c r="G65" s="48">
        <f t="shared" si="23"/>
        <v>62</v>
      </c>
      <c r="H65" s="45">
        <f t="shared" si="12"/>
        <v>1360.8</v>
      </c>
      <c r="I65" s="45">
        <f t="shared" si="13"/>
        <v>3491.4</v>
      </c>
      <c r="J65" s="45">
        <f t="shared" si="14"/>
        <v>6480</v>
      </c>
      <c r="K65" s="45">
        <f t="shared" si="15"/>
        <v>7378.56</v>
      </c>
      <c r="L65" s="45">
        <f t="shared" si="16"/>
        <v>9370.08</v>
      </c>
      <c r="M65" s="45">
        <f t="shared" si="17"/>
        <v>10361.52</v>
      </c>
      <c r="N65" s="45">
        <f t="shared" si="18"/>
        <v>12441.6</v>
      </c>
      <c r="O65" s="45">
        <f t="shared" si="19"/>
        <v>17150.4</v>
      </c>
      <c r="P65" s="45">
        <f t="shared" si="20"/>
        <v>20779.2</v>
      </c>
      <c r="Q65" s="45">
        <f t="shared" si="21"/>
        <v>23716.8</v>
      </c>
      <c r="R65" s="45">
        <f t="shared" si="22"/>
        <v>28317.6</v>
      </c>
    </row>
    <row r="66" spans="1:18" ht="12.75">
      <c r="A66" s="50">
        <v>4100</v>
      </c>
      <c r="B66" s="51">
        <v>2.15</v>
      </c>
      <c r="C66" s="51">
        <v>2.51</v>
      </c>
      <c r="D66" s="51">
        <v>2.86</v>
      </c>
      <c r="E66" s="51">
        <v>3.21</v>
      </c>
      <c r="F66" s="51">
        <v>3.56</v>
      </c>
      <c r="G66" s="48">
        <f t="shared" si="23"/>
        <v>63</v>
      </c>
      <c r="H66" s="45">
        <f t="shared" si="12"/>
        <v>1388.3625</v>
      </c>
      <c r="I66" s="45">
        <f t="shared" si="13"/>
        <v>3550.395</v>
      </c>
      <c r="J66" s="45">
        <f t="shared" si="14"/>
        <v>6595.875</v>
      </c>
      <c r="K66" s="45">
        <f t="shared" si="15"/>
        <v>7510.503</v>
      </c>
      <c r="L66" s="45">
        <f t="shared" si="16"/>
        <v>9515.402999999998</v>
      </c>
      <c r="M66" s="45">
        <f t="shared" si="17"/>
        <v>10522.2195</v>
      </c>
      <c r="N66" s="45">
        <f t="shared" si="18"/>
        <v>12634.56</v>
      </c>
      <c r="O66" s="45">
        <f t="shared" si="19"/>
        <v>17383.836</v>
      </c>
      <c r="P66" s="45">
        <f t="shared" si="20"/>
        <v>21062.028</v>
      </c>
      <c r="Q66" s="45">
        <f t="shared" si="21"/>
        <v>24039.611999999997</v>
      </c>
      <c r="R66" s="45">
        <f t="shared" si="22"/>
        <v>28703.034</v>
      </c>
    </row>
    <row r="67" spans="1:18" ht="12.75">
      <c r="A67" s="50">
        <v>4200</v>
      </c>
      <c r="B67" s="51">
        <v>2.13</v>
      </c>
      <c r="C67" s="51">
        <v>2.48</v>
      </c>
      <c r="D67" s="51">
        <v>2.83</v>
      </c>
      <c r="E67" s="51">
        <v>3.18</v>
      </c>
      <c r="F67" s="51">
        <v>3.53</v>
      </c>
      <c r="G67" s="48">
        <f t="shared" si="23"/>
        <v>64</v>
      </c>
      <c r="H67" s="45">
        <f t="shared" si="12"/>
        <v>1408.995</v>
      </c>
      <c r="I67" s="45">
        <f t="shared" si="13"/>
        <v>3593.52</v>
      </c>
      <c r="J67" s="45">
        <f t="shared" si="14"/>
        <v>6685.875</v>
      </c>
      <c r="K67" s="45">
        <f t="shared" si="15"/>
        <v>7612.982999999999</v>
      </c>
      <c r="L67" s="45">
        <f t="shared" si="16"/>
        <v>9656.387999999999</v>
      </c>
      <c r="M67" s="45">
        <f t="shared" si="17"/>
        <v>10678.122</v>
      </c>
      <c r="N67" s="45">
        <f t="shared" si="18"/>
        <v>12821.76</v>
      </c>
      <c r="O67" s="45">
        <f t="shared" si="19"/>
        <v>17657.766</v>
      </c>
      <c r="P67" s="45">
        <f t="shared" si="20"/>
        <v>21393.917999999998</v>
      </c>
      <c r="Q67" s="45">
        <f t="shared" si="21"/>
        <v>24418.422</v>
      </c>
      <c r="R67" s="45">
        <f t="shared" si="22"/>
        <v>29155.328999999998</v>
      </c>
    </row>
    <row r="68" spans="1:18" ht="12.75">
      <c r="A68" s="50">
        <v>4300</v>
      </c>
      <c r="B68" s="51">
        <v>2.12</v>
      </c>
      <c r="C68" s="51">
        <v>2.46</v>
      </c>
      <c r="D68" s="51">
        <v>2.81</v>
      </c>
      <c r="E68" s="51">
        <v>3.15</v>
      </c>
      <c r="F68" s="51">
        <v>3.49</v>
      </c>
      <c r="G68" s="48">
        <f t="shared" si="23"/>
        <v>65</v>
      </c>
      <c r="H68" s="45">
        <f t="shared" si="12"/>
        <v>1435.77</v>
      </c>
      <c r="I68" s="45">
        <f t="shared" si="13"/>
        <v>3649.41</v>
      </c>
      <c r="J68" s="45">
        <f t="shared" si="14"/>
        <v>6796.6875</v>
      </c>
      <c r="K68" s="45">
        <f t="shared" si="15"/>
        <v>7739.1615</v>
      </c>
      <c r="L68" s="45">
        <f t="shared" si="16"/>
        <v>9793.035</v>
      </c>
      <c r="M68" s="45">
        <f t="shared" si="17"/>
        <v>10829.2275</v>
      </c>
      <c r="N68" s="45">
        <f t="shared" si="18"/>
        <v>13003.2</v>
      </c>
      <c r="O68" s="45">
        <f t="shared" si="19"/>
        <v>17873.337000000003</v>
      </c>
      <c r="P68" s="45">
        <f t="shared" si="20"/>
        <v>21655.101000000002</v>
      </c>
      <c r="Q68" s="45">
        <f t="shared" si="21"/>
        <v>24716.529000000002</v>
      </c>
      <c r="R68" s="45">
        <f t="shared" si="22"/>
        <v>29511.2655</v>
      </c>
    </row>
    <row r="69" spans="1:18" ht="12.75">
      <c r="A69" s="50">
        <v>4400</v>
      </c>
      <c r="B69" s="51">
        <v>2.11</v>
      </c>
      <c r="C69" s="51">
        <v>2.44</v>
      </c>
      <c r="D69" s="51">
        <v>2.78</v>
      </c>
      <c r="E69" s="51">
        <v>3.13</v>
      </c>
      <c r="F69" s="51">
        <v>3.46</v>
      </c>
      <c r="G69" s="48">
        <f t="shared" si="23"/>
        <v>66</v>
      </c>
      <c r="H69" s="45">
        <f aca="true" t="shared" si="24" ref="H69:H100">$A69*$B69*H$2*$J$127*$J$128*$J$129*$J$130/100</f>
        <v>1462.23</v>
      </c>
      <c r="I69" s="45">
        <f aca="true" t="shared" si="25" ref="I69:I100">$A69*$C69*$I$2*$J$127*$J$128*$J$129*$J$130/100</f>
        <v>3703.92</v>
      </c>
      <c r="J69" s="45">
        <f aca="true" t="shared" si="26" ref="J69:J100">$A69*$D69*$J$2*$J$127*$J$128*$J$129*$J$130/100</f>
        <v>6880.5</v>
      </c>
      <c r="K69" s="45">
        <f aca="true" t="shared" si="27" ref="K69:K100">$A69*$D69*$K$2*$J$127*$J$128*$J$129*$J$130/100</f>
        <v>7834.596</v>
      </c>
      <c r="L69" s="45">
        <f aca="true" t="shared" si="28" ref="L69:L100">$A69*$E69*$L$2*$J$127*$J$128*$J$129*$J$130/100</f>
        <v>9957.155999999999</v>
      </c>
      <c r="M69" s="45">
        <f aca="true" t="shared" si="29" ref="M69:M100">$A69*$E69*$M$2*$J$127*$J$128*$J$129*$J$130/100</f>
        <v>11010.714</v>
      </c>
      <c r="N69" s="45">
        <f aca="true" t="shared" si="30" ref="N69:N100">$A69*$E69*$N$2*$J$127*$J$128*$J$129*$J$130/100</f>
        <v>13221.12</v>
      </c>
      <c r="O69" s="45">
        <f aca="true" t="shared" si="31" ref="O69:O100">$A69*$F69*$O$2*$J$127*$J$128*$J$129*$J$130/100</f>
        <v>18131.784</v>
      </c>
      <c r="P69" s="45">
        <f aca="true" t="shared" si="32" ref="P69:P100">$A69*$F69*$P$2*$J$127*$J$128*$J$129*$J$130/100</f>
        <v>21968.231999999996</v>
      </c>
      <c r="Q69" s="45">
        <f aca="true" t="shared" si="33" ref="Q69:Q100">$A69*$F69*$Q$2*$J$127*$J$128*$J$129*$J$130/100</f>
        <v>25073.928</v>
      </c>
      <c r="R69" s="45">
        <f aca="true" t="shared" si="34" ref="R69:R100">$A69*$F69*$R$2*$J$127*$J$128*$J$129*$J$130/100</f>
        <v>29937.996</v>
      </c>
    </row>
    <row r="70" spans="1:18" ht="12.75">
      <c r="A70" s="50">
        <v>4500</v>
      </c>
      <c r="B70" s="51">
        <v>2.09</v>
      </c>
      <c r="C70" s="51">
        <v>2.42</v>
      </c>
      <c r="D70" s="51">
        <v>2.75</v>
      </c>
      <c r="E70" s="51">
        <v>3.09</v>
      </c>
      <c r="F70" s="51">
        <v>3.42</v>
      </c>
      <c r="G70" s="48">
        <f aca="true" t="shared" si="35" ref="G70:G101">G69+1</f>
        <v>67</v>
      </c>
      <c r="H70" s="45">
        <f t="shared" si="24"/>
        <v>1481.2875</v>
      </c>
      <c r="I70" s="45">
        <f t="shared" si="25"/>
        <v>3757.05</v>
      </c>
      <c r="J70" s="45">
        <f t="shared" si="26"/>
        <v>6960.9375</v>
      </c>
      <c r="K70" s="45">
        <f t="shared" si="27"/>
        <v>7926.1875</v>
      </c>
      <c r="L70" s="45">
        <f t="shared" si="28"/>
        <v>10053.315</v>
      </c>
      <c r="M70" s="45">
        <f t="shared" si="29"/>
        <v>11117.0475</v>
      </c>
      <c r="N70" s="45">
        <f t="shared" si="30"/>
        <v>13348.8</v>
      </c>
      <c r="O70" s="45">
        <f t="shared" si="31"/>
        <v>18329.49</v>
      </c>
      <c r="P70" s="45">
        <f t="shared" si="32"/>
        <v>22207.77</v>
      </c>
      <c r="Q70" s="45">
        <f t="shared" si="33"/>
        <v>25347.33</v>
      </c>
      <c r="R70" s="45">
        <f t="shared" si="34"/>
        <v>30264.435</v>
      </c>
    </row>
    <row r="71" spans="1:18" ht="12.75">
      <c r="A71" s="50">
        <v>4600</v>
      </c>
      <c r="B71" s="51">
        <v>2.07</v>
      </c>
      <c r="C71" s="51">
        <v>2.4</v>
      </c>
      <c r="D71" s="51">
        <v>2.73</v>
      </c>
      <c r="E71" s="51">
        <v>3.06</v>
      </c>
      <c r="F71" s="51">
        <v>3.39</v>
      </c>
      <c r="G71" s="48">
        <f t="shared" si="35"/>
        <v>68</v>
      </c>
      <c r="H71" s="45">
        <f t="shared" si="24"/>
        <v>1499.715</v>
      </c>
      <c r="I71" s="45">
        <f t="shared" si="25"/>
        <v>3808.8</v>
      </c>
      <c r="J71" s="45">
        <f t="shared" si="26"/>
        <v>7063.875</v>
      </c>
      <c r="K71" s="45">
        <f t="shared" si="27"/>
        <v>8043.399</v>
      </c>
      <c r="L71" s="45">
        <f t="shared" si="28"/>
        <v>10176.947999999999</v>
      </c>
      <c r="M71" s="45">
        <f t="shared" si="29"/>
        <v>11253.761999999999</v>
      </c>
      <c r="N71" s="45">
        <f t="shared" si="30"/>
        <v>13512.96</v>
      </c>
      <c r="O71" s="45">
        <f t="shared" si="31"/>
        <v>18572.453999999998</v>
      </c>
      <c r="P71" s="45">
        <f t="shared" si="32"/>
        <v>22502.141999999996</v>
      </c>
      <c r="Q71" s="45">
        <f t="shared" si="33"/>
        <v>25683.318</v>
      </c>
      <c r="R71" s="45">
        <f t="shared" si="34"/>
        <v>30665.601000000002</v>
      </c>
    </row>
    <row r="72" spans="1:18" ht="12.75">
      <c r="A72" s="50">
        <v>4700</v>
      </c>
      <c r="B72" s="51">
        <v>2.06</v>
      </c>
      <c r="C72" s="51">
        <v>2.38</v>
      </c>
      <c r="D72" s="51">
        <v>2.7</v>
      </c>
      <c r="E72" s="51">
        <v>3.03</v>
      </c>
      <c r="F72" s="51">
        <v>3.35</v>
      </c>
      <c r="G72" s="48">
        <f t="shared" si="35"/>
        <v>69</v>
      </c>
      <c r="H72" s="45">
        <f t="shared" si="24"/>
        <v>1524.915</v>
      </c>
      <c r="I72" s="45">
        <f t="shared" si="25"/>
        <v>3859.17</v>
      </c>
      <c r="J72" s="45">
        <f t="shared" si="26"/>
        <v>7138.125</v>
      </c>
      <c r="K72" s="45">
        <f t="shared" si="27"/>
        <v>8127.945</v>
      </c>
      <c r="L72" s="45">
        <f t="shared" si="28"/>
        <v>10296.242999999999</v>
      </c>
      <c r="M72" s="45">
        <f t="shared" si="29"/>
        <v>11385.679499999997</v>
      </c>
      <c r="N72" s="45">
        <f t="shared" si="30"/>
        <v>13671.359999999997</v>
      </c>
      <c r="O72" s="45">
        <f t="shared" si="31"/>
        <v>18752.295</v>
      </c>
      <c r="P72" s="45">
        <f t="shared" si="32"/>
        <v>22720.035</v>
      </c>
      <c r="Q72" s="45">
        <f t="shared" si="33"/>
        <v>25932.015</v>
      </c>
      <c r="R72" s="45">
        <f t="shared" si="34"/>
        <v>30962.5425</v>
      </c>
    </row>
    <row r="73" spans="1:18" ht="12.75">
      <c r="A73" s="50">
        <v>4800</v>
      </c>
      <c r="B73" s="51">
        <v>2.04</v>
      </c>
      <c r="C73" s="51">
        <v>2.36</v>
      </c>
      <c r="D73" s="51">
        <v>2.68</v>
      </c>
      <c r="E73" s="51">
        <v>3</v>
      </c>
      <c r="F73" s="51">
        <v>3.32</v>
      </c>
      <c r="G73" s="48">
        <f t="shared" si="35"/>
        <v>70</v>
      </c>
      <c r="H73" s="45">
        <f t="shared" si="24"/>
        <v>1542.24</v>
      </c>
      <c r="I73" s="45">
        <f t="shared" si="25"/>
        <v>3908.16</v>
      </c>
      <c r="J73" s="45">
        <f t="shared" si="26"/>
        <v>7236</v>
      </c>
      <c r="K73" s="45">
        <f t="shared" si="27"/>
        <v>8239.392</v>
      </c>
      <c r="L73" s="45">
        <f t="shared" si="28"/>
        <v>10411.2</v>
      </c>
      <c r="M73" s="45">
        <f t="shared" si="29"/>
        <v>11512.8</v>
      </c>
      <c r="N73" s="45">
        <f t="shared" si="30"/>
        <v>13824</v>
      </c>
      <c r="O73" s="45">
        <f t="shared" si="31"/>
        <v>18979.775999999998</v>
      </c>
      <c r="P73" s="45">
        <f t="shared" si="32"/>
        <v>22995.647999999997</v>
      </c>
      <c r="Q73" s="45">
        <f t="shared" si="33"/>
        <v>26246.591999999997</v>
      </c>
      <c r="R73" s="45">
        <f t="shared" si="34"/>
        <v>31338.144</v>
      </c>
    </row>
    <row r="74" spans="1:18" ht="12.75">
      <c r="A74" s="50">
        <v>4900</v>
      </c>
      <c r="B74" s="51">
        <v>2.02</v>
      </c>
      <c r="C74" s="51">
        <v>2.34</v>
      </c>
      <c r="D74" s="51">
        <v>2.65</v>
      </c>
      <c r="E74" s="51">
        <v>2.96</v>
      </c>
      <c r="F74" s="51">
        <v>3.28</v>
      </c>
      <c r="G74" s="48">
        <f t="shared" si="35"/>
        <v>71</v>
      </c>
      <c r="H74" s="45">
        <f t="shared" si="24"/>
        <v>1558.935</v>
      </c>
      <c r="I74" s="45">
        <f t="shared" si="25"/>
        <v>3955.77</v>
      </c>
      <c r="J74" s="45">
        <f t="shared" si="26"/>
        <v>7304.0625</v>
      </c>
      <c r="K74" s="45">
        <f t="shared" si="27"/>
        <v>8316.8925</v>
      </c>
      <c r="L74" s="45">
        <f t="shared" si="28"/>
        <v>10486.392</v>
      </c>
      <c r="M74" s="45">
        <f t="shared" si="29"/>
        <v>11595.948</v>
      </c>
      <c r="N74" s="45">
        <f t="shared" si="30"/>
        <v>13923.84</v>
      </c>
      <c r="O74" s="45">
        <f t="shared" si="31"/>
        <v>19141.751999999997</v>
      </c>
      <c r="P74" s="45">
        <f t="shared" si="32"/>
        <v>23191.895999999997</v>
      </c>
      <c r="Q74" s="45">
        <f t="shared" si="33"/>
        <v>26470.583999999995</v>
      </c>
      <c r="R74" s="45">
        <f t="shared" si="34"/>
        <v>31605.587999999992</v>
      </c>
    </row>
    <row r="75" spans="1:18" ht="12.75">
      <c r="A75" s="50">
        <v>5000</v>
      </c>
      <c r="B75" s="51">
        <v>2</v>
      </c>
      <c r="C75" s="51">
        <v>2.31</v>
      </c>
      <c r="D75" s="51">
        <v>2.62</v>
      </c>
      <c r="E75" s="51">
        <v>2.93</v>
      </c>
      <c r="F75" s="51">
        <v>3.24</v>
      </c>
      <c r="G75" s="48">
        <f t="shared" si="35"/>
        <v>72</v>
      </c>
      <c r="H75" s="45">
        <f t="shared" si="24"/>
        <v>1575</v>
      </c>
      <c r="I75" s="45">
        <f t="shared" si="25"/>
        <v>3984.75</v>
      </c>
      <c r="J75" s="45">
        <f t="shared" si="26"/>
        <v>7368.75</v>
      </c>
      <c r="K75" s="45">
        <f t="shared" si="27"/>
        <v>8390.55</v>
      </c>
      <c r="L75" s="45">
        <f t="shared" si="28"/>
        <v>10591.95</v>
      </c>
      <c r="M75" s="45">
        <f t="shared" si="29"/>
        <v>11712.675</v>
      </c>
      <c r="N75" s="45">
        <f t="shared" si="30"/>
        <v>14064</v>
      </c>
      <c r="O75" s="45">
        <f t="shared" si="31"/>
        <v>19294.2</v>
      </c>
      <c r="P75" s="45">
        <f t="shared" si="32"/>
        <v>23376.6</v>
      </c>
      <c r="Q75" s="45">
        <f t="shared" si="33"/>
        <v>26681.400000000005</v>
      </c>
      <c r="R75" s="45">
        <f t="shared" si="34"/>
        <v>31857.300000000003</v>
      </c>
    </row>
    <row r="76" spans="1:18" ht="12.75">
      <c r="A76" s="50">
        <v>5200</v>
      </c>
      <c r="B76" s="51">
        <v>1.98</v>
      </c>
      <c r="C76" s="51">
        <v>2.29</v>
      </c>
      <c r="D76" s="51">
        <v>2.59</v>
      </c>
      <c r="E76" s="51">
        <v>2.9</v>
      </c>
      <c r="F76" s="51">
        <v>3.2</v>
      </c>
      <c r="G76" s="48">
        <f t="shared" si="35"/>
        <v>73</v>
      </c>
      <c r="H76" s="45">
        <f t="shared" si="24"/>
        <v>1621.62</v>
      </c>
      <c r="I76" s="45">
        <f t="shared" si="25"/>
        <v>4108.26</v>
      </c>
      <c r="J76" s="45">
        <f t="shared" si="26"/>
        <v>7575.75</v>
      </c>
      <c r="K76" s="45">
        <f t="shared" si="27"/>
        <v>8626.254</v>
      </c>
      <c r="L76" s="45">
        <f t="shared" si="28"/>
        <v>10902.84</v>
      </c>
      <c r="M76" s="45">
        <f t="shared" si="29"/>
        <v>12056.46</v>
      </c>
      <c r="N76" s="45">
        <f t="shared" si="30"/>
        <v>14476.8</v>
      </c>
      <c r="O76" s="45">
        <f t="shared" si="31"/>
        <v>19818.24</v>
      </c>
      <c r="P76" s="45">
        <f t="shared" si="32"/>
        <v>24011.52</v>
      </c>
      <c r="Q76" s="45">
        <f t="shared" si="33"/>
        <v>27406.08</v>
      </c>
      <c r="R76" s="45">
        <f t="shared" si="34"/>
        <v>32722.56</v>
      </c>
    </row>
    <row r="77" spans="1:18" ht="12.75">
      <c r="A77" s="50">
        <v>5400</v>
      </c>
      <c r="B77" s="51">
        <v>1.96</v>
      </c>
      <c r="C77" s="51">
        <v>2.27</v>
      </c>
      <c r="D77" s="51">
        <v>2.57</v>
      </c>
      <c r="E77" s="51">
        <v>2.87</v>
      </c>
      <c r="F77" s="51">
        <v>3.17</v>
      </c>
      <c r="G77" s="48">
        <f t="shared" si="35"/>
        <v>74</v>
      </c>
      <c r="H77" s="45">
        <f t="shared" si="24"/>
        <v>1666.98</v>
      </c>
      <c r="I77" s="45">
        <f t="shared" si="25"/>
        <v>4229.01</v>
      </c>
      <c r="J77" s="45">
        <f t="shared" si="26"/>
        <v>7806.375</v>
      </c>
      <c r="K77" s="45">
        <f t="shared" si="27"/>
        <v>8888.859</v>
      </c>
      <c r="L77" s="45">
        <f t="shared" si="28"/>
        <v>11205.053999999998</v>
      </c>
      <c r="M77" s="45">
        <f t="shared" si="29"/>
        <v>12390.650999999998</v>
      </c>
      <c r="N77" s="45">
        <f t="shared" si="30"/>
        <v>14878.08</v>
      </c>
      <c r="O77" s="45">
        <f t="shared" si="31"/>
        <v>20387.537999999997</v>
      </c>
      <c r="P77" s="45">
        <f t="shared" si="32"/>
        <v>24701.273999999998</v>
      </c>
      <c r="Q77" s="45">
        <f t="shared" si="33"/>
        <v>28193.346</v>
      </c>
      <c r="R77" s="45">
        <f t="shared" si="34"/>
        <v>33662.547</v>
      </c>
    </row>
    <row r="78" spans="1:18" ht="12.75">
      <c r="A78" s="50">
        <v>5600</v>
      </c>
      <c r="B78" s="51">
        <v>1.95</v>
      </c>
      <c r="C78" s="51">
        <v>2.25</v>
      </c>
      <c r="D78" s="51">
        <v>2.54</v>
      </c>
      <c r="E78" s="51">
        <v>2.84</v>
      </c>
      <c r="F78" s="51">
        <v>3.14</v>
      </c>
      <c r="G78" s="48">
        <f t="shared" si="35"/>
        <v>75</v>
      </c>
      <c r="H78" s="45">
        <f t="shared" si="24"/>
        <v>1719.9</v>
      </c>
      <c r="I78" s="45">
        <f t="shared" si="25"/>
        <v>4347</v>
      </c>
      <c r="J78" s="45">
        <f t="shared" si="26"/>
        <v>8001</v>
      </c>
      <c r="K78" s="45">
        <f t="shared" si="27"/>
        <v>9110.472</v>
      </c>
      <c r="L78" s="45">
        <f t="shared" si="28"/>
        <v>11498.591999999999</v>
      </c>
      <c r="M78" s="45">
        <f t="shared" si="29"/>
        <v>12715.248</v>
      </c>
      <c r="N78" s="45">
        <f t="shared" si="30"/>
        <v>15267.84</v>
      </c>
      <c r="O78" s="45">
        <f t="shared" si="31"/>
        <v>20942.543999999998</v>
      </c>
      <c r="P78" s="45">
        <f t="shared" si="32"/>
        <v>25373.711999999996</v>
      </c>
      <c r="Q78" s="45">
        <f t="shared" si="33"/>
        <v>28960.847999999998</v>
      </c>
      <c r="R78" s="45">
        <f t="shared" si="34"/>
        <v>34578.936</v>
      </c>
    </row>
    <row r="79" spans="1:18" ht="12.75">
      <c r="A79" s="50">
        <v>5800</v>
      </c>
      <c r="B79" s="51">
        <v>1.93</v>
      </c>
      <c r="C79" s="51">
        <v>2.23</v>
      </c>
      <c r="D79" s="51">
        <v>2.52</v>
      </c>
      <c r="E79" s="51">
        <v>2.82</v>
      </c>
      <c r="F79" s="51">
        <v>3.11</v>
      </c>
      <c r="G79" s="48">
        <f t="shared" si="35"/>
        <v>76</v>
      </c>
      <c r="H79" s="45">
        <f t="shared" si="24"/>
        <v>1763.055</v>
      </c>
      <c r="I79" s="45">
        <f t="shared" si="25"/>
        <v>4462.23</v>
      </c>
      <c r="J79" s="45">
        <f t="shared" si="26"/>
        <v>8221.5</v>
      </c>
      <c r="K79" s="45">
        <f t="shared" si="27"/>
        <v>9361.547999999999</v>
      </c>
      <c r="L79" s="45">
        <f t="shared" si="28"/>
        <v>11825.387999999999</v>
      </c>
      <c r="M79" s="45">
        <f t="shared" si="29"/>
        <v>13076.621999999998</v>
      </c>
      <c r="N79" s="45">
        <f t="shared" si="30"/>
        <v>15701.759999999998</v>
      </c>
      <c r="O79" s="45">
        <f t="shared" si="31"/>
        <v>21483.257999999998</v>
      </c>
      <c r="P79" s="45">
        <f t="shared" si="32"/>
        <v>26028.834</v>
      </c>
      <c r="Q79" s="45">
        <f t="shared" si="33"/>
        <v>29708.586</v>
      </c>
      <c r="R79" s="45">
        <f t="shared" si="34"/>
        <v>35471.727</v>
      </c>
    </row>
    <row r="80" spans="1:18" ht="12.75">
      <c r="A80" s="50">
        <v>6000</v>
      </c>
      <c r="B80" s="51">
        <v>1.92</v>
      </c>
      <c r="C80" s="51">
        <v>2.21</v>
      </c>
      <c r="D80" s="51">
        <v>2.5</v>
      </c>
      <c r="E80" s="51">
        <v>2.79</v>
      </c>
      <c r="F80" s="51">
        <v>3.08</v>
      </c>
      <c r="G80" s="48">
        <f t="shared" si="35"/>
        <v>77</v>
      </c>
      <c r="H80" s="45">
        <f t="shared" si="24"/>
        <v>1814.4</v>
      </c>
      <c r="I80" s="45">
        <f t="shared" si="25"/>
        <v>4574.7</v>
      </c>
      <c r="J80" s="45">
        <f t="shared" si="26"/>
        <v>8437.5</v>
      </c>
      <c r="K80" s="45">
        <f t="shared" si="27"/>
        <v>9607.5</v>
      </c>
      <c r="L80" s="45">
        <f t="shared" si="28"/>
        <v>12103.02</v>
      </c>
      <c r="M80" s="45">
        <f t="shared" si="29"/>
        <v>13383.63</v>
      </c>
      <c r="N80" s="45">
        <f t="shared" si="30"/>
        <v>16070.4</v>
      </c>
      <c r="O80" s="45">
        <f t="shared" si="31"/>
        <v>22009.68</v>
      </c>
      <c r="P80" s="45">
        <f t="shared" si="32"/>
        <v>26666.64</v>
      </c>
      <c r="Q80" s="45">
        <f t="shared" si="33"/>
        <v>30436.56</v>
      </c>
      <c r="R80" s="45">
        <f t="shared" si="34"/>
        <v>36340.92</v>
      </c>
    </row>
    <row r="81" spans="1:18" ht="12.75">
      <c r="A81" s="50">
        <v>6500</v>
      </c>
      <c r="B81" s="51">
        <v>1.88</v>
      </c>
      <c r="C81" s="51">
        <v>2.16</v>
      </c>
      <c r="D81" s="51">
        <v>2.44</v>
      </c>
      <c r="E81" s="51">
        <v>2.72</v>
      </c>
      <c r="F81" s="51">
        <v>3</v>
      </c>
      <c r="G81" s="48">
        <f t="shared" si="35"/>
        <v>78</v>
      </c>
      <c r="H81" s="45">
        <f t="shared" si="24"/>
        <v>1924.65</v>
      </c>
      <c r="I81" s="45">
        <f t="shared" si="25"/>
        <v>4843.8</v>
      </c>
      <c r="J81" s="45">
        <f t="shared" si="26"/>
        <v>8921.25</v>
      </c>
      <c r="K81" s="45">
        <f t="shared" si="27"/>
        <v>10158.33</v>
      </c>
      <c r="L81" s="45">
        <f t="shared" si="28"/>
        <v>12782.64</v>
      </c>
      <c r="M81" s="45">
        <f t="shared" si="29"/>
        <v>14135.16</v>
      </c>
      <c r="N81" s="45">
        <f t="shared" si="30"/>
        <v>16972.8</v>
      </c>
      <c r="O81" s="45">
        <f t="shared" si="31"/>
        <v>23224.5</v>
      </c>
      <c r="P81" s="45">
        <f t="shared" si="32"/>
        <v>28138.5</v>
      </c>
      <c r="Q81" s="45">
        <f t="shared" si="33"/>
        <v>32116.5</v>
      </c>
      <c r="R81" s="45">
        <f t="shared" si="34"/>
        <v>38346.75</v>
      </c>
    </row>
    <row r="82" spans="1:18" ht="12.75">
      <c r="A82" s="50">
        <v>7000</v>
      </c>
      <c r="B82" s="51">
        <v>1.84</v>
      </c>
      <c r="C82" s="51">
        <v>2.11</v>
      </c>
      <c r="D82" s="51">
        <v>2.38</v>
      </c>
      <c r="E82" s="51">
        <v>2.66</v>
      </c>
      <c r="F82" s="51">
        <v>2.92</v>
      </c>
      <c r="G82" s="48">
        <f t="shared" si="35"/>
        <v>79</v>
      </c>
      <c r="H82" s="45">
        <f t="shared" si="24"/>
        <v>2028.6</v>
      </c>
      <c r="I82" s="45">
        <f t="shared" si="25"/>
        <v>5095.65</v>
      </c>
      <c r="J82" s="45">
        <f t="shared" si="26"/>
        <v>9371.25</v>
      </c>
      <c r="K82" s="45">
        <f t="shared" si="27"/>
        <v>10670.73</v>
      </c>
      <c r="L82" s="45">
        <f t="shared" si="28"/>
        <v>13462.26</v>
      </c>
      <c r="M82" s="45">
        <f t="shared" si="29"/>
        <v>14886.69</v>
      </c>
      <c r="N82" s="45">
        <f t="shared" si="30"/>
        <v>17875.2</v>
      </c>
      <c r="O82" s="45">
        <f t="shared" si="31"/>
        <v>24344.04</v>
      </c>
      <c r="P82" s="45">
        <f t="shared" si="32"/>
        <v>29494.92</v>
      </c>
      <c r="Q82" s="45">
        <f t="shared" si="33"/>
        <v>33664.68</v>
      </c>
      <c r="R82" s="45">
        <f t="shared" si="34"/>
        <v>40195.26</v>
      </c>
    </row>
    <row r="83" spans="1:18" ht="12.75">
      <c r="A83" s="50">
        <v>7500</v>
      </c>
      <c r="B83" s="51">
        <v>1.8</v>
      </c>
      <c r="C83" s="51">
        <v>2.07</v>
      </c>
      <c r="D83" s="51">
        <v>2.32</v>
      </c>
      <c r="E83" s="51">
        <v>2.59</v>
      </c>
      <c r="F83" s="51">
        <v>2.84</v>
      </c>
      <c r="G83" s="48">
        <f t="shared" si="35"/>
        <v>80</v>
      </c>
      <c r="H83" s="45">
        <f t="shared" si="24"/>
        <v>2126.25</v>
      </c>
      <c r="I83" s="45">
        <f t="shared" si="25"/>
        <v>5356.124999999999</v>
      </c>
      <c r="J83" s="45">
        <f t="shared" si="26"/>
        <v>9787.5</v>
      </c>
      <c r="K83" s="45">
        <f t="shared" si="27"/>
        <v>11144.7</v>
      </c>
      <c r="L83" s="45">
        <f t="shared" si="28"/>
        <v>14044.275</v>
      </c>
      <c r="M83" s="45">
        <f t="shared" si="29"/>
        <v>15530.2875</v>
      </c>
      <c r="N83" s="45">
        <f t="shared" si="30"/>
        <v>18648</v>
      </c>
      <c r="O83" s="45">
        <f t="shared" si="31"/>
        <v>25368.3</v>
      </c>
      <c r="P83" s="45">
        <f t="shared" si="32"/>
        <v>30735.9</v>
      </c>
      <c r="Q83" s="45">
        <f t="shared" si="33"/>
        <v>35081.1</v>
      </c>
      <c r="R83" s="45">
        <f t="shared" si="34"/>
        <v>41886.45</v>
      </c>
    </row>
    <row r="84" spans="1:18" ht="12.75">
      <c r="A84" s="50">
        <v>8000</v>
      </c>
      <c r="B84" s="51">
        <v>1.77</v>
      </c>
      <c r="C84" s="51">
        <v>2.03</v>
      </c>
      <c r="D84" s="51">
        <v>2.28</v>
      </c>
      <c r="E84" s="51">
        <v>2.54</v>
      </c>
      <c r="F84" s="51">
        <v>2.79</v>
      </c>
      <c r="G84" s="48">
        <f t="shared" si="35"/>
        <v>81</v>
      </c>
      <c r="H84" s="45">
        <f t="shared" si="24"/>
        <v>2230.2</v>
      </c>
      <c r="I84" s="45">
        <f t="shared" si="25"/>
        <v>5602.799999999999</v>
      </c>
      <c r="J84" s="45">
        <f t="shared" si="26"/>
        <v>10260</v>
      </c>
      <c r="K84" s="45">
        <f t="shared" si="27"/>
        <v>11682.72</v>
      </c>
      <c r="L84" s="45">
        <f t="shared" si="28"/>
        <v>14691.36</v>
      </c>
      <c r="M84" s="45">
        <f t="shared" si="29"/>
        <v>16245.84</v>
      </c>
      <c r="N84" s="45">
        <f t="shared" si="30"/>
        <v>19507.2</v>
      </c>
      <c r="O84" s="45">
        <f t="shared" si="31"/>
        <v>26583.12</v>
      </c>
      <c r="P84" s="45">
        <f t="shared" si="32"/>
        <v>32207.76</v>
      </c>
      <c r="Q84" s="45">
        <f t="shared" si="33"/>
        <v>36761.04</v>
      </c>
      <c r="R84" s="45">
        <f t="shared" si="34"/>
        <v>43892.28</v>
      </c>
    </row>
    <row r="85" spans="1:18" ht="12.75">
      <c r="A85" s="50">
        <v>8500</v>
      </c>
      <c r="B85" s="51">
        <v>1.75</v>
      </c>
      <c r="C85" s="51">
        <v>2</v>
      </c>
      <c r="D85" s="51">
        <v>2.25</v>
      </c>
      <c r="E85" s="51">
        <v>2.5</v>
      </c>
      <c r="F85" s="51">
        <v>2.74</v>
      </c>
      <c r="G85" s="48">
        <f t="shared" si="35"/>
        <v>82</v>
      </c>
      <c r="H85" s="45">
        <f t="shared" si="24"/>
        <v>2342.8125</v>
      </c>
      <c r="I85" s="45">
        <f t="shared" si="25"/>
        <v>5865</v>
      </c>
      <c r="J85" s="45">
        <f t="shared" si="26"/>
        <v>10757.8125</v>
      </c>
      <c r="K85" s="45">
        <f t="shared" si="27"/>
        <v>12249.5625</v>
      </c>
      <c r="L85" s="45">
        <f t="shared" si="28"/>
        <v>15363.75</v>
      </c>
      <c r="M85" s="45">
        <f t="shared" si="29"/>
        <v>16989.375</v>
      </c>
      <c r="N85" s="45">
        <f t="shared" si="30"/>
        <v>20400</v>
      </c>
      <c r="O85" s="45">
        <f t="shared" si="31"/>
        <v>27738.39</v>
      </c>
      <c r="P85" s="45">
        <f t="shared" si="32"/>
        <v>33607.47</v>
      </c>
      <c r="Q85" s="45">
        <f t="shared" si="33"/>
        <v>38358.63</v>
      </c>
      <c r="R85" s="45">
        <f t="shared" si="34"/>
        <v>45799.785</v>
      </c>
    </row>
    <row r="86" spans="1:18" ht="12.75">
      <c r="A86" s="50">
        <v>9000</v>
      </c>
      <c r="B86" s="51">
        <v>1.73</v>
      </c>
      <c r="C86" s="51">
        <v>1.97</v>
      </c>
      <c r="D86" s="51">
        <v>2.21</v>
      </c>
      <c r="E86" s="51">
        <v>2.46</v>
      </c>
      <c r="F86" s="51">
        <v>2.7</v>
      </c>
      <c r="G86" s="48">
        <f t="shared" si="35"/>
        <v>83</v>
      </c>
      <c r="H86" s="45">
        <f t="shared" si="24"/>
        <v>2452.275</v>
      </c>
      <c r="I86" s="45">
        <f t="shared" si="25"/>
        <v>6116.85</v>
      </c>
      <c r="J86" s="45">
        <f t="shared" si="26"/>
        <v>11188.125</v>
      </c>
      <c r="K86" s="45">
        <f t="shared" si="27"/>
        <v>12739.545</v>
      </c>
      <c r="L86" s="45">
        <f t="shared" si="28"/>
        <v>16007.22</v>
      </c>
      <c r="M86" s="45">
        <f t="shared" si="29"/>
        <v>17700.93</v>
      </c>
      <c r="N86" s="45">
        <f t="shared" si="30"/>
        <v>21254.4</v>
      </c>
      <c r="O86" s="45">
        <f t="shared" si="31"/>
        <v>28941.3</v>
      </c>
      <c r="P86" s="45">
        <f t="shared" si="32"/>
        <v>35064.9</v>
      </c>
      <c r="Q86" s="45">
        <f t="shared" si="33"/>
        <v>40022.1</v>
      </c>
      <c r="R86" s="45">
        <f t="shared" si="34"/>
        <v>47785.95</v>
      </c>
    </row>
    <row r="87" spans="1:18" ht="12.75">
      <c r="A87" s="50">
        <v>9500</v>
      </c>
      <c r="B87" s="51">
        <v>1.71</v>
      </c>
      <c r="C87" s="51">
        <v>1.94</v>
      </c>
      <c r="D87" s="51">
        <v>2.18</v>
      </c>
      <c r="E87" s="51">
        <v>2.42</v>
      </c>
      <c r="F87" s="51">
        <v>2.65</v>
      </c>
      <c r="G87" s="48">
        <f t="shared" si="35"/>
        <v>84</v>
      </c>
      <c r="H87" s="45">
        <f t="shared" si="24"/>
        <v>2558.5875</v>
      </c>
      <c r="I87" s="45">
        <f t="shared" si="25"/>
        <v>6358.35</v>
      </c>
      <c r="J87" s="45">
        <f t="shared" si="26"/>
        <v>11649.375</v>
      </c>
      <c r="K87" s="45">
        <f t="shared" si="27"/>
        <v>13264.755</v>
      </c>
      <c r="L87" s="45">
        <f t="shared" si="28"/>
        <v>16621.77</v>
      </c>
      <c r="M87" s="45">
        <f t="shared" si="29"/>
        <v>18380.505</v>
      </c>
      <c r="N87" s="45">
        <f t="shared" si="30"/>
        <v>22070.4</v>
      </c>
      <c r="O87" s="45">
        <f t="shared" si="31"/>
        <v>29983.425</v>
      </c>
      <c r="P87" s="45">
        <f t="shared" si="32"/>
        <v>36327.525</v>
      </c>
      <c r="Q87" s="45">
        <f t="shared" si="33"/>
        <v>41463.225</v>
      </c>
      <c r="R87" s="45">
        <f t="shared" si="34"/>
        <v>49506.6375</v>
      </c>
    </row>
    <row r="88" spans="1:18" ht="12.75">
      <c r="A88" s="50">
        <v>10000</v>
      </c>
      <c r="B88" s="51">
        <v>1.69</v>
      </c>
      <c r="C88" s="51">
        <v>1.91</v>
      </c>
      <c r="D88" s="51">
        <v>2.15</v>
      </c>
      <c r="E88" s="51">
        <v>2.33</v>
      </c>
      <c r="F88" s="51">
        <v>2.61</v>
      </c>
      <c r="G88" s="48">
        <f t="shared" si="35"/>
        <v>85</v>
      </c>
      <c r="H88" s="45">
        <f t="shared" si="24"/>
        <v>2661.75</v>
      </c>
      <c r="I88" s="45">
        <f t="shared" si="25"/>
        <v>6589.5</v>
      </c>
      <c r="J88" s="45">
        <f t="shared" si="26"/>
        <v>12093.75</v>
      </c>
      <c r="K88" s="45">
        <f t="shared" si="27"/>
        <v>13770.75</v>
      </c>
      <c r="L88" s="45">
        <f t="shared" si="28"/>
        <v>16845.9</v>
      </c>
      <c r="M88" s="45">
        <f t="shared" si="29"/>
        <v>18628.35</v>
      </c>
      <c r="N88" s="45">
        <f t="shared" si="30"/>
        <v>22368</v>
      </c>
      <c r="O88" s="45">
        <f t="shared" si="31"/>
        <v>31085.1</v>
      </c>
      <c r="P88" s="45">
        <f t="shared" si="32"/>
        <v>37662.3</v>
      </c>
      <c r="Q88" s="45">
        <f t="shared" si="33"/>
        <v>42986.7</v>
      </c>
      <c r="R88" s="45">
        <f t="shared" si="34"/>
        <v>51325.65</v>
      </c>
    </row>
    <row r="89" spans="1:18" ht="12.75">
      <c r="A89" s="50">
        <v>10500</v>
      </c>
      <c r="B89" s="51">
        <v>1.66</v>
      </c>
      <c r="C89" s="51">
        <v>1.88</v>
      </c>
      <c r="D89" s="51">
        <v>2.12</v>
      </c>
      <c r="E89" s="51">
        <v>2.34</v>
      </c>
      <c r="F89" s="51">
        <v>2.57</v>
      </c>
      <c r="G89" s="48">
        <f t="shared" si="35"/>
        <v>86</v>
      </c>
      <c r="H89" s="45">
        <f t="shared" si="24"/>
        <v>2745.225</v>
      </c>
      <c r="I89" s="45">
        <f t="shared" si="25"/>
        <v>6810.3</v>
      </c>
      <c r="J89" s="45">
        <f t="shared" si="26"/>
        <v>12521.25</v>
      </c>
      <c r="K89" s="45">
        <f t="shared" si="27"/>
        <v>14257.53</v>
      </c>
      <c r="L89" s="45">
        <f t="shared" si="28"/>
        <v>17764.11</v>
      </c>
      <c r="M89" s="45">
        <f t="shared" si="29"/>
        <v>19643.715</v>
      </c>
      <c r="N89" s="45">
        <f t="shared" si="30"/>
        <v>23587.2</v>
      </c>
      <c r="O89" s="45">
        <f t="shared" si="31"/>
        <v>32139.135</v>
      </c>
      <c r="P89" s="45">
        <f t="shared" si="32"/>
        <v>38939.355</v>
      </c>
      <c r="Q89" s="45">
        <f t="shared" si="33"/>
        <v>44444.295</v>
      </c>
      <c r="R89" s="45">
        <f t="shared" si="34"/>
        <v>53066.0025</v>
      </c>
    </row>
    <row r="90" spans="1:18" ht="12.75">
      <c r="A90" s="50">
        <v>11000</v>
      </c>
      <c r="B90" s="51">
        <v>1.64</v>
      </c>
      <c r="C90" s="51">
        <v>1.86</v>
      </c>
      <c r="D90" s="51">
        <v>2.09</v>
      </c>
      <c r="E90" s="51">
        <v>2.31</v>
      </c>
      <c r="F90" s="51">
        <v>2.53</v>
      </c>
      <c r="G90" s="48">
        <f t="shared" si="35"/>
        <v>87</v>
      </c>
      <c r="H90" s="45">
        <f t="shared" si="24"/>
        <v>2841.3</v>
      </c>
      <c r="I90" s="45">
        <f t="shared" si="25"/>
        <v>7058.7</v>
      </c>
      <c r="J90" s="45">
        <f t="shared" si="26"/>
        <v>12931.875</v>
      </c>
      <c r="K90" s="45">
        <f t="shared" si="27"/>
        <v>14725.095</v>
      </c>
      <c r="L90" s="45">
        <f t="shared" si="28"/>
        <v>18371.43</v>
      </c>
      <c r="M90" s="45">
        <f t="shared" si="29"/>
        <v>20315.295</v>
      </c>
      <c r="N90" s="45">
        <f t="shared" si="30"/>
        <v>24393.6</v>
      </c>
      <c r="O90" s="45">
        <f t="shared" si="31"/>
        <v>33145.53</v>
      </c>
      <c r="P90" s="45">
        <f t="shared" si="32"/>
        <v>40158.68999999999</v>
      </c>
      <c r="Q90" s="45">
        <f t="shared" si="33"/>
        <v>45836.00999999999</v>
      </c>
      <c r="R90" s="45">
        <f t="shared" si="34"/>
        <v>54727.69499999999</v>
      </c>
    </row>
    <row r="91" spans="1:18" ht="12.75">
      <c r="A91" s="50">
        <v>11500</v>
      </c>
      <c r="B91" s="51">
        <v>1.61</v>
      </c>
      <c r="C91" s="51">
        <v>1.83</v>
      </c>
      <c r="D91" s="51">
        <v>2.06</v>
      </c>
      <c r="E91" s="51">
        <v>2.27</v>
      </c>
      <c r="F91" s="51">
        <v>2.49</v>
      </c>
      <c r="G91" s="48">
        <f t="shared" si="35"/>
        <v>88</v>
      </c>
      <c r="H91" s="45">
        <f t="shared" si="24"/>
        <v>2916.1125</v>
      </c>
      <c r="I91" s="45">
        <f t="shared" si="25"/>
        <v>7260.525</v>
      </c>
      <c r="J91" s="45">
        <f t="shared" si="26"/>
        <v>13325.625</v>
      </c>
      <c r="K91" s="45">
        <f t="shared" si="27"/>
        <v>15173.445</v>
      </c>
      <c r="L91" s="45">
        <f t="shared" si="28"/>
        <v>18873.915</v>
      </c>
      <c r="M91" s="45">
        <f t="shared" si="29"/>
        <v>20870.9475</v>
      </c>
      <c r="N91" s="45">
        <f t="shared" si="30"/>
        <v>25060.8</v>
      </c>
      <c r="O91" s="45">
        <f t="shared" si="31"/>
        <v>34104.285</v>
      </c>
      <c r="P91" s="45">
        <f t="shared" si="32"/>
        <v>41320.30500000001</v>
      </c>
      <c r="Q91" s="45">
        <f t="shared" si="33"/>
        <v>47161.845</v>
      </c>
      <c r="R91" s="45">
        <f t="shared" si="34"/>
        <v>56310.72750000001</v>
      </c>
    </row>
    <row r="92" spans="1:18" ht="12.75">
      <c r="A92" s="50">
        <v>12000</v>
      </c>
      <c r="B92" s="51">
        <v>1.59</v>
      </c>
      <c r="C92" s="51">
        <v>1.81</v>
      </c>
      <c r="D92" s="51">
        <v>2.03</v>
      </c>
      <c r="E92" s="51">
        <v>2.24</v>
      </c>
      <c r="F92" s="51">
        <v>2.45</v>
      </c>
      <c r="G92" s="48">
        <f t="shared" si="35"/>
        <v>89</v>
      </c>
      <c r="H92" s="45">
        <f t="shared" si="24"/>
        <v>3005.1</v>
      </c>
      <c r="I92" s="45">
        <f t="shared" si="25"/>
        <v>7493.4</v>
      </c>
      <c r="J92" s="45">
        <f t="shared" si="26"/>
        <v>13702.499999999998</v>
      </c>
      <c r="K92" s="45">
        <f t="shared" si="27"/>
        <v>15602.579999999998</v>
      </c>
      <c r="L92" s="45">
        <f t="shared" si="28"/>
        <v>19434.24</v>
      </c>
      <c r="M92" s="45">
        <f t="shared" si="29"/>
        <v>21490.56</v>
      </c>
      <c r="N92" s="45">
        <f t="shared" si="30"/>
        <v>25804.800000000003</v>
      </c>
      <c r="O92" s="45">
        <f t="shared" si="31"/>
        <v>35015.4</v>
      </c>
      <c r="P92" s="45">
        <f t="shared" si="32"/>
        <v>42424.2</v>
      </c>
      <c r="Q92" s="45">
        <f t="shared" si="33"/>
        <v>48421.8</v>
      </c>
      <c r="R92" s="45">
        <f t="shared" si="34"/>
        <v>57815.100000000006</v>
      </c>
    </row>
    <row r="93" spans="1:18" ht="12.75">
      <c r="A93" s="50">
        <v>12500</v>
      </c>
      <c r="B93" s="51">
        <v>1.57</v>
      </c>
      <c r="C93" s="51">
        <v>1.79</v>
      </c>
      <c r="D93" s="51">
        <v>2</v>
      </c>
      <c r="E93" s="51">
        <v>2.21</v>
      </c>
      <c r="F93" s="51">
        <v>2.42</v>
      </c>
      <c r="G93" s="48">
        <f t="shared" si="35"/>
        <v>90</v>
      </c>
      <c r="H93" s="45">
        <f t="shared" si="24"/>
        <v>3090.9375</v>
      </c>
      <c r="I93" s="45">
        <f t="shared" si="25"/>
        <v>7719.375</v>
      </c>
      <c r="J93" s="45">
        <f t="shared" si="26"/>
        <v>14062.5</v>
      </c>
      <c r="K93" s="45">
        <f t="shared" si="27"/>
        <v>16012.5</v>
      </c>
      <c r="L93" s="45">
        <f t="shared" si="28"/>
        <v>19972.875</v>
      </c>
      <c r="M93" s="45">
        <f t="shared" si="29"/>
        <v>22086.1875</v>
      </c>
      <c r="N93" s="45">
        <f t="shared" si="30"/>
        <v>26520</v>
      </c>
      <c r="O93" s="45">
        <f t="shared" si="31"/>
        <v>36027.75</v>
      </c>
      <c r="P93" s="45">
        <f t="shared" si="32"/>
        <v>43650.75</v>
      </c>
      <c r="Q93" s="45">
        <f t="shared" si="33"/>
        <v>49821.75</v>
      </c>
      <c r="R93" s="45">
        <f t="shared" si="34"/>
        <v>59486.625</v>
      </c>
    </row>
    <row r="94" spans="1:18" ht="12.75">
      <c r="A94" s="50">
        <v>13000</v>
      </c>
      <c r="B94" s="51">
        <v>1.55</v>
      </c>
      <c r="C94" s="51">
        <v>1.76</v>
      </c>
      <c r="D94" s="51">
        <v>1.97</v>
      </c>
      <c r="E94" s="51">
        <v>2.18</v>
      </c>
      <c r="F94" s="51">
        <v>2.39</v>
      </c>
      <c r="G94" s="48">
        <f t="shared" si="35"/>
        <v>91</v>
      </c>
      <c r="H94" s="45">
        <f t="shared" si="24"/>
        <v>3173.625</v>
      </c>
      <c r="I94" s="45">
        <f t="shared" si="25"/>
        <v>7893.6</v>
      </c>
      <c r="J94" s="45">
        <f t="shared" si="26"/>
        <v>14405.625</v>
      </c>
      <c r="K94" s="45">
        <f t="shared" si="27"/>
        <v>16403.205</v>
      </c>
      <c r="L94" s="45">
        <f t="shared" si="28"/>
        <v>20489.820000000003</v>
      </c>
      <c r="M94" s="45">
        <f t="shared" si="29"/>
        <v>22657.83</v>
      </c>
      <c r="N94" s="45">
        <f t="shared" si="30"/>
        <v>27206.400000000005</v>
      </c>
      <c r="O94" s="45">
        <f t="shared" si="31"/>
        <v>37004.37</v>
      </c>
      <c r="P94" s="45">
        <f t="shared" si="32"/>
        <v>44834.01</v>
      </c>
      <c r="Q94" s="45">
        <f t="shared" si="33"/>
        <v>51172.29</v>
      </c>
      <c r="R94" s="45">
        <f t="shared" si="34"/>
        <v>61099.155</v>
      </c>
    </row>
    <row r="95" spans="1:18" ht="12.75">
      <c r="A95" s="50">
        <v>13500</v>
      </c>
      <c r="B95" s="51">
        <v>1.53</v>
      </c>
      <c r="C95" s="51">
        <v>1.74</v>
      </c>
      <c r="D95" s="51">
        <v>1.94</v>
      </c>
      <c r="E95" s="51">
        <v>2.15</v>
      </c>
      <c r="F95" s="51">
        <v>2.36</v>
      </c>
      <c r="G95" s="48">
        <f t="shared" si="35"/>
        <v>92</v>
      </c>
      <c r="H95" s="45">
        <f t="shared" si="24"/>
        <v>3253.1625</v>
      </c>
      <c r="I95" s="45">
        <f t="shared" si="25"/>
        <v>8104.05</v>
      </c>
      <c r="J95" s="45">
        <f t="shared" si="26"/>
        <v>14731.875</v>
      </c>
      <c r="K95" s="45">
        <f t="shared" si="27"/>
        <v>16774.695</v>
      </c>
      <c r="L95" s="45">
        <f t="shared" si="28"/>
        <v>20985.075</v>
      </c>
      <c r="M95" s="45">
        <f t="shared" si="29"/>
        <v>23205.4875</v>
      </c>
      <c r="N95" s="45">
        <f t="shared" si="30"/>
        <v>27864</v>
      </c>
      <c r="O95" s="45">
        <f t="shared" si="31"/>
        <v>37945.26</v>
      </c>
      <c r="P95" s="45">
        <f t="shared" si="32"/>
        <v>45973.98</v>
      </c>
      <c r="Q95" s="45">
        <f t="shared" si="33"/>
        <v>52473.42</v>
      </c>
      <c r="R95" s="45">
        <f t="shared" si="34"/>
        <v>62652.69</v>
      </c>
    </row>
    <row r="96" spans="1:18" ht="12.75">
      <c r="A96" s="50">
        <v>14000</v>
      </c>
      <c r="B96" s="51">
        <v>1.52</v>
      </c>
      <c r="C96" s="51">
        <v>1.72</v>
      </c>
      <c r="D96" s="51">
        <v>1.92</v>
      </c>
      <c r="E96" s="51">
        <v>2.12</v>
      </c>
      <c r="F96" s="51">
        <v>2.33</v>
      </c>
      <c r="G96" s="48">
        <f t="shared" si="35"/>
        <v>93</v>
      </c>
      <c r="H96" s="45">
        <f t="shared" si="24"/>
        <v>3351.6</v>
      </c>
      <c r="I96" s="45">
        <f t="shared" si="25"/>
        <v>8307.6</v>
      </c>
      <c r="J96" s="45">
        <f t="shared" si="26"/>
        <v>15120</v>
      </c>
      <c r="K96" s="45">
        <f t="shared" si="27"/>
        <v>17216.64</v>
      </c>
      <c r="L96" s="45">
        <f t="shared" si="28"/>
        <v>21458.64</v>
      </c>
      <c r="M96" s="45">
        <f t="shared" si="29"/>
        <v>23729.16</v>
      </c>
      <c r="N96" s="45">
        <f t="shared" si="30"/>
        <v>28492.8</v>
      </c>
      <c r="O96" s="45">
        <f t="shared" si="31"/>
        <v>38850.42</v>
      </c>
      <c r="P96" s="45">
        <f t="shared" si="32"/>
        <v>47070.66</v>
      </c>
      <c r="Q96" s="45">
        <f t="shared" si="33"/>
        <v>53725.14</v>
      </c>
      <c r="R96" s="45">
        <f t="shared" si="34"/>
        <v>64147.23</v>
      </c>
    </row>
    <row r="97" spans="1:18" ht="12.75">
      <c r="A97" s="50">
        <v>14500</v>
      </c>
      <c r="B97" s="51">
        <v>1.5</v>
      </c>
      <c r="C97" s="51">
        <v>1.7</v>
      </c>
      <c r="D97" s="51">
        <v>1.89</v>
      </c>
      <c r="E97" s="51">
        <v>2.09</v>
      </c>
      <c r="F97" s="51">
        <v>2.3</v>
      </c>
      <c r="G97" s="48">
        <f t="shared" si="35"/>
        <v>94</v>
      </c>
      <c r="H97" s="45">
        <f t="shared" si="24"/>
        <v>3425.625</v>
      </c>
      <c r="I97" s="45">
        <f t="shared" si="25"/>
        <v>8504.25</v>
      </c>
      <c r="J97" s="45">
        <f t="shared" si="26"/>
        <v>15415.3125</v>
      </c>
      <c r="K97" s="45">
        <f t="shared" si="27"/>
        <v>17552.9025</v>
      </c>
      <c r="L97" s="45">
        <f t="shared" si="28"/>
        <v>21910.514999999996</v>
      </c>
      <c r="M97" s="45">
        <f t="shared" si="29"/>
        <v>24228.847499999996</v>
      </c>
      <c r="N97" s="45">
        <f t="shared" si="30"/>
        <v>29092.799999999996</v>
      </c>
      <c r="O97" s="45">
        <f t="shared" si="31"/>
        <v>39719.85</v>
      </c>
      <c r="P97" s="45">
        <f t="shared" si="32"/>
        <v>48124.05</v>
      </c>
      <c r="Q97" s="45">
        <f t="shared" si="33"/>
        <v>54927.45</v>
      </c>
      <c r="R97" s="45">
        <f t="shared" si="34"/>
        <v>65582.775</v>
      </c>
    </row>
    <row r="98" spans="1:18" ht="12.75">
      <c r="A98" s="50">
        <v>15000</v>
      </c>
      <c r="B98" s="51">
        <v>1.49</v>
      </c>
      <c r="C98" s="51">
        <v>1.68</v>
      </c>
      <c r="D98" s="51">
        <v>1.87</v>
      </c>
      <c r="E98" s="51">
        <v>2.07</v>
      </c>
      <c r="F98" s="51">
        <v>2.27</v>
      </c>
      <c r="G98" s="48">
        <f t="shared" si="35"/>
        <v>95</v>
      </c>
      <c r="H98" s="45">
        <f t="shared" si="24"/>
        <v>3520.125</v>
      </c>
      <c r="I98" s="45">
        <f t="shared" si="25"/>
        <v>8694</v>
      </c>
      <c r="J98" s="45">
        <f t="shared" si="26"/>
        <v>15778.125</v>
      </c>
      <c r="K98" s="45">
        <f t="shared" si="27"/>
        <v>17966.025</v>
      </c>
      <c r="L98" s="45">
        <f t="shared" si="28"/>
        <v>22449.149999999994</v>
      </c>
      <c r="M98" s="45">
        <f t="shared" si="29"/>
        <v>24824.474999999995</v>
      </c>
      <c r="N98" s="45">
        <f t="shared" si="30"/>
        <v>29807.999999999996</v>
      </c>
      <c r="O98" s="45">
        <f t="shared" si="31"/>
        <v>40553.55</v>
      </c>
      <c r="P98" s="45">
        <f t="shared" si="32"/>
        <v>49134.15</v>
      </c>
      <c r="Q98" s="45">
        <f t="shared" si="33"/>
        <v>56080.35</v>
      </c>
      <c r="R98" s="45">
        <f t="shared" si="34"/>
        <v>66959.325</v>
      </c>
    </row>
    <row r="99" spans="1:18" ht="12.75">
      <c r="A99" s="50">
        <v>17500</v>
      </c>
      <c r="B99" s="51">
        <v>1.41</v>
      </c>
      <c r="C99" s="51">
        <v>1.58</v>
      </c>
      <c r="D99" s="51">
        <v>1.76</v>
      </c>
      <c r="E99" s="51">
        <v>1.94</v>
      </c>
      <c r="F99" s="51">
        <v>2.12</v>
      </c>
      <c r="G99" s="48">
        <f t="shared" si="35"/>
        <v>96</v>
      </c>
      <c r="H99" s="45">
        <f t="shared" si="24"/>
        <v>3886.3125</v>
      </c>
      <c r="I99" s="45">
        <f t="shared" si="25"/>
        <v>9539.25</v>
      </c>
      <c r="J99" s="45">
        <f t="shared" si="26"/>
        <v>17325</v>
      </c>
      <c r="K99" s="45">
        <f t="shared" si="27"/>
        <v>19727.4</v>
      </c>
      <c r="L99" s="45">
        <f t="shared" si="28"/>
        <v>24545.85</v>
      </c>
      <c r="M99" s="45">
        <f t="shared" si="29"/>
        <v>27143.025</v>
      </c>
      <c r="N99" s="45">
        <f t="shared" si="30"/>
        <v>32592</v>
      </c>
      <c r="O99" s="45">
        <f t="shared" si="31"/>
        <v>44186.1</v>
      </c>
      <c r="P99" s="45">
        <f t="shared" si="32"/>
        <v>53535.3</v>
      </c>
      <c r="Q99" s="45">
        <f t="shared" si="33"/>
        <v>61103.7</v>
      </c>
      <c r="R99" s="45">
        <f t="shared" si="34"/>
        <v>72957.15</v>
      </c>
    </row>
    <row r="100" spans="1:18" ht="12.75">
      <c r="A100" s="50">
        <v>20000</v>
      </c>
      <c r="B100" s="51">
        <v>1.34</v>
      </c>
      <c r="C100" s="51">
        <v>1.51</v>
      </c>
      <c r="D100" s="51">
        <v>1.67</v>
      </c>
      <c r="E100" s="51">
        <v>1.84</v>
      </c>
      <c r="F100" s="51">
        <v>2</v>
      </c>
      <c r="G100" s="48">
        <f t="shared" si="35"/>
        <v>97</v>
      </c>
      <c r="H100" s="45">
        <f t="shared" si="24"/>
        <v>4221</v>
      </c>
      <c r="I100" s="45">
        <f t="shared" si="25"/>
        <v>10419</v>
      </c>
      <c r="J100" s="45">
        <f t="shared" si="26"/>
        <v>18787.5</v>
      </c>
      <c r="K100" s="45">
        <f t="shared" si="27"/>
        <v>21392.7</v>
      </c>
      <c r="L100" s="45">
        <f t="shared" si="28"/>
        <v>26606.4</v>
      </c>
      <c r="M100" s="45">
        <f t="shared" si="29"/>
        <v>29421.6</v>
      </c>
      <c r="N100" s="45">
        <f t="shared" si="30"/>
        <v>35328</v>
      </c>
      <c r="O100" s="45">
        <f t="shared" si="31"/>
        <v>47640</v>
      </c>
      <c r="P100" s="45">
        <f t="shared" si="32"/>
        <v>57720</v>
      </c>
      <c r="Q100" s="45">
        <f t="shared" si="33"/>
        <v>65880</v>
      </c>
      <c r="R100" s="45">
        <f t="shared" si="34"/>
        <v>78660</v>
      </c>
    </row>
    <row r="101" spans="1:18" ht="12.75">
      <c r="A101" s="50">
        <v>22500</v>
      </c>
      <c r="B101" s="51">
        <v>1.28</v>
      </c>
      <c r="C101" s="51">
        <v>1.43</v>
      </c>
      <c r="D101" s="51">
        <v>1.57</v>
      </c>
      <c r="E101" s="51">
        <v>1.73</v>
      </c>
      <c r="F101" s="51">
        <v>1.88</v>
      </c>
      <c r="G101" s="48">
        <f t="shared" si="35"/>
        <v>98</v>
      </c>
      <c r="H101" s="45">
        <f aca="true" t="shared" si="36" ref="H101:H125">$A101*$B101*H$2*$J$127*$J$128*$J$129*$J$130/100</f>
        <v>4536</v>
      </c>
      <c r="I101" s="45">
        <f aca="true" t="shared" si="37" ref="I101:I125">$A101*$C101*$I$2*$J$127*$J$128*$J$129*$J$130/100</f>
        <v>11100.375</v>
      </c>
      <c r="J101" s="45">
        <f aca="true" t="shared" si="38" ref="J101:J125">$A101*$D101*$J$2*$J$127*$J$128*$J$129*$J$130/100</f>
        <v>19870.3125</v>
      </c>
      <c r="K101" s="45">
        <f aca="true" t="shared" si="39" ref="K101:K125">$A101*$D101*$K$2*$J$127*$J$128*$J$129*$J$130/100</f>
        <v>22625.6625</v>
      </c>
      <c r="L101" s="45">
        <f aca="true" t="shared" si="40" ref="L101:L125">$A101*$E101*$L$2*$J$127*$J$128*$J$129*$J$130/100</f>
        <v>28142.775</v>
      </c>
      <c r="M101" s="45">
        <f aca="true" t="shared" si="41" ref="M101:M125">$A101*$E101*$M$2*$J$127*$J$128*$J$129*$J$130/100</f>
        <v>31120.5375</v>
      </c>
      <c r="N101" s="45">
        <f aca="true" t="shared" si="42" ref="N101:N125">$A101*$E101*$N$2*$J$127*$J$128*$J$129*$J$130/100</f>
        <v>37368</v>
      </c>
      <c r="O101" s="45">
        <f aca="true" t="shared" si="43" ref="O101:O125">$A101*$F101*$O$2*$J$127*$J$128*$J$129*$J$130/100</f>
        <v>50379.3</v>
      </c>
      <c r="P101" s="45">
        <f aca="true" t="shared" si="44" ref="P101:P125">$A101*$F101*$P$2*$J$127*$J$128*$J$129*$J$130/100</f>
        <v>61038.9</v>
      </c>
      <c r="Q101" s="45">
        <f aca="true" t="shared" si="45" ref="Q101:Q125">$A101*$F101*$Q$2*$J$127*$J$128*$J$129*$J$130/100</f>
        <v>69668.1</v>
      </c>
      <c r="R101" s="45">
        <f aca="true" t="shared" si="46" ref="R101:R125">$A101*$F101*$R$2*$J$127*$J$128*$J$129*$J$130/100</f>
        <v>83182.95</v>
      </c>
    </row>
    <row r="102" spans="1:18" ht="12.75">
      <c r="A102" s="50">
        <v>25000</v>
      </c>
      <c r="B102" s="51">
        <v>1.22</v>
      </c>
      <c r="C102" s="51">
        <v>1.35</v>
      </c>
      <c r="D102" s="51">
        <v>1.5</v>
      </c>
      <c r="E102" s="51">
        <v>1.64</v>
      </c>
      <c r="F102" s="51">
        <v>1.79</v>
      </c>
      <c r="G102" s="48">
        <f aca="true" t="shared" si="47" ref="G102:G125">G101+1</f>
        <v>99</v>
      </c>
      <c r="H102" s="45">
        <f t="shared" si="36"/>
        <v>4803.75</v>
      </c>
      <c r="I102" s="45">
        <f t="shared" si="37"/>
        <v>11643.75</v>
      </c>
      <c r="J102" s="45">
        <f t="shared" si="38"/>
        <v>21093.75</v>
      </c>
      <c r="K102" s="45">
        <f t="shared" si="39"/>
        <v>24018.75</v>
      </c>
      <c r="L102" s="45">
        <f t="shared" si="40"/>
        <v>29643</v>
      </c>
      <c r="M102" s="45">
        <f t="shared" si="41"/>
        <v>32779.5</v>
      </c>
      <c r="N102" s="45">
        <f t="shared" si="42"/>
        <v>39360</v>
      </c>
      <c r="O102" s="45">
        <f t="shared" si="43"/>
        <v>53297.25</v>
      </c>
      <c r="P102" s="45">
        <f t="shared" si="44"/>
        <v>64574.25</v>
      </c>
      <c r="Q102" s="45">
        <f t="shared" si="45"/>
        <v>73703.25</v>
      </c>
      <c r="R102" s="45">
        <f t="shared" si="46"/>
        <v>88000.875</v>
      </c>
    </row>
    <row r="103" spans="1:18" ht="12.75">
      <c r="A103" s="50">
        <v>27500</v>
      </c>
      <c r="B103" s="51">
        <v>1.16</v>
      </c>
      <c r="C103" s="51">
        <v>1.29</v>
      </c>
      <c r="D103" s="51">
        <v>1.42</v>
      </c>
      <c r="E103" s="51">
        <v>1.55</v>
      </c>
      <c r="F103" s="51">
        <v>1.68</v>
      </c>
      <c r="G103" s="48">
        <f t="shared" si="47"/>
        <v>100</v>
      </c>
      <c r="H103" s="45">
        <f t="shared" si="36"/>
        <v>5024.249999999999</v>
      </c>
      <c r="I103" s="45">
        <f t="shared" si="37"/>
        <v>12238.875</v>
      </c>
      <c r="J103" s="45">
        <f t="shared" si="38"/>
        <v>21965.625</v>
      </c>
      <c r="K103" s="45">
        <f t="shared" si="39"/>
        <v>25011.525</v>
      </c>
      <c r="L103" s="45">
        <f t="shared" si="40"/>
        <v>30817.875</v>
      </c>
      <c r="M103" s="45">
        <f t="shared" si="41"/>
        <v>34078.6875</v>
      </c>
      <c r="N103" s="45">
        <f t="shared" si="42"/>
        <v>40920</v>
      </c>
      <c r="O103" s="45">
        <f t="shared" si="43"/>
        <v>55024.2</v>
      </c>
      <c r="P103" s="45">
        <f t="shared" si="44"/>
        <v>66666.6</v>
      </c>
      <c r="Q103" s="45">
        <f t="shared" si="45"/>
        <v>76091.4</v>
      </c>
      <c r="R103" s="45">
        <f t="shared" si="46"/>
        <v>90852.3</v>
      </c>
    </row>
    <row r="104" spans="1:18" ht="12.75">
      <c r="A104" s="50">
        <v>30000</v>
      </c>
      <c r="B104" s="51">
        <v>1.1</v>
      </c>
      <c r="C104" s="51">
        <v>1.22</v>
      </c>
      <c r="D104" s="51">
        <v>1.35</v>
      </c>
      <c r="E104" s="51">
        <v>1.47</v>
      </c>
      <c r="F104" s="51">
        <v>1.61</v>
      </c>
      <c r="G104" s="48">
        <f t="shared" si="47"/>
        <v>101</v>
      </c>
      <c r="H104" s="45">
        <f t="shared" si="36"/>
        <v>5197.5</v>
      </c>
      <c r="I104" s="45">
        <f t="shared" si="37"/>
        <v>12627</v>
      </c>
      <c r="J104" s="45">
        <f t="shared" si="38"/>
        <v>22781.25</v>
      </c>
      <c r="K104" s="45">
        <f t="shared" si="39"/>
        <v>25940.25</v>
      </c>
      <c r="L104" s="45">
        <f t="shared" si="40"/>
        <v>31884.3</v>
      </c>
      <c r="M104" s="45">
        <f t="shared" si="41"/>
        <v>35257.95</v>
      </c>
      <c r="N104" s="45">
        <f t="shared" si="42"/>
        <v>42336</v>
      </c>
      <c r="O104" s="45">
        <f t="shared" si="43"/>
        <v>57525.3</v>
      </c>
      <c r="P104" s="45">
        <f t="shared" si="44"/>
        <v>69696.9</v>
      </c>
      <c r="Q104" s="45">
        <f t="shared" si="45"/>
        <v>79550.1</v>
      </c>
      <c r="R104" s="45">
        <f t="shared" si="46"/>
        <v>94981.95</v>
      </c>
    </row>
    <row r="105" spans="1:18" ht="12.75">
      <c r="A105" s="50">
        <v>32500</v>
      </c>
      <c r="B105" s="51">
        <v>1.05</v>
      </c>
      <c r="C105" s="51">
        <v>1.18</v>
      </c>
      <c r="D105" s="51">
        <v>1.31</v>
      </c>
      <c r="E105" s="51">
        <v>1.44</v>
      </c>
      <c r="F105" s="51">
        <v>1.57</v>
      </c>
      <c r="G105" s="48">
        <f t="shared" si="47"/>
        <v>102</v>
      </c>
      <c r="H105" s="45">
        <f t="shared" si="36"/>
        <v>5374.6875</v>
      </c>
      <c r="I105" s="45">
        <f t="shared" si="37"/>
        <v>13230.75</v>
      </c>
      <c r="J105" s="45">
        <f t="shared" si="38"/>
        <v>23948.4375</v>
      </c>
      <c r="K105" s="45">
        <f t="shared" si="39"/>
        <v>27269.2875</v>
      </c>
      <c r="L105" s="45">
        <f t="shared" si="40"/>
        <v>33836.4</v>
      </c>
      <c r="M105" s="45">
        <f t="shared" si="41"/>
        <v>37416.6</v>
      </c>
      <c r="N105" s="45">
        <f t="shared" si="42"/>
        <v>44928</v>
      </c>
      <c r="O105" s="45">
        <f t="shared" si="43"/>
        <v>60770.775</v>
      </c>
      <c r="P105" s="45">
        <f t="shared" si="44"/>
        <v>73629.075</v>
      </c>
      <c r="Q105" s="45">
        <f t="shared" si="45"/>
        <v>84038.175</v>
      </c>
      <c r="R105" s="45">
        <f t="shared" si="46"/>
        <v>100340.6625</v>
      </c>
    </row>
    <row r="106" spans="1:18" ht="12.75">
      <c r="A106" s="50">
        <v>35000</v>
      </c>
      <c r="B106" s="51">
        <v>1.01</v>
      </c>
      <c r="C106" s="51">
        <v>1.14</v>
      </c>
      <c r="D106" s="51">
        <v>1.26</v>
      </c>
      <c r="E106" s="51">
        <v>1.39</v>
      </c>
      <c r="F106" s="51">
        <v>1.51</v>
      </c>
      <c r="G106" s="48">
        <f t="shared" si="47"/>
        <v>103</v>
      </c>
      <c r="H106" s="45">
        <f t="shared" si="36"/>
        <v>5567.625</v>
      </c>
      <c r="I106" s="45">
        <f t="shared" si="37"/>
        <v>13765.5</v>
      </c>
      <c r="J106" s="45">
        <f t="shared" si="38"/>
        <v>24806.25</v>
      </c>
      <c r="K106" s="45">
        <f t="shared" si="39"/>
        <v>28246.05</v>
      </c>
      <c r="L106" s="45">
        <f t="shared" si="40"/>
        <v>35173.95</v>
      </c>
      <c r="M106" s="45">
        <f t="shared" si="41"/>
        <v>38895.675</v>
      </c>
      <c r="N106" s="45">
        <f t="shared" si="42"/>
        <v>46704</v>
      </c>
      <c r="O106" s="45">
        <f t="shared" si="43"/>
        <v>62944.35</v>
      </c>
      <c r="P106" s="45">
        <f t="shared" si="44"/>
        <v>76262.55</v>
      </c>
      <c r="Q106" s="45">
        <f t="shared" si="45"/>
        <v>87043.95</v>
      </c>
      <c r="R106" s="45">
        <f t="shared" si="46"/>
        <v>103929.525</v>
      </c>
    </row>
    <row r="107" spans="1:18" ht="12.75">
      <c r="A107" s="50">
        <v>37500</v>
      </c>
      <c r="B107" s="51">
        <v>0.98</v>
      </c>
      <c r="C107" s="51">
        <v>1.1</v>
      </c>
      <c r="D107" s="51">
        <v>1.22</v>
      </c>
      <c r="E107" s="51">
        <v>1.34</v>
      </c>
      <c r="F107" s="51">
        <v>1.46</v>
      </c>
      <c r="G107" s="48">
        <f t="shared" si="47"/>
        <v>104</v>
      </c>
      <c r="H107" s="45">
        <f t="shared" si="36"/>
        <v>5788.125</v>
      </c>
      <c r="I107" s="45">
        <f t="shared" si="37"/>
        <v>14231.25</v>
      </c>
      <c r="J107" s="45">
        <f t="shared" si="38"/>
        <v>25734.375</v>
      </c>
      <c r="K107" s="45">
        <f t="shared" si="39"/>
        <v>29302.875</v>
      </c>
      <c r="L107" s="45">
        <f t="shared" si="40"/>
        <v>36330.75</v>
      </c>
      <c r="M107" s="45">
        <f t="shared" si="41"/>
        <v>40174.875</v>
      </c>
      <c r="N107" s="45">
        <f t="shared" si="42"/>
        <v>48240</v>
      </c>
      <c r="O107" s="45">
        <f t="shared" si="43"/>
        <v>65207.25</v>
      </c>
      <c r="P107" s="45">
        <f t="shared" si="44"/>
        <v>79004.25</v>
      </c>
      <c r="Q107" s="45">
        <f t="shared" si="45"/>
        <v>90173.25</v>
      </c>
      <c r="R107" s="45">
        <f t="shared" si="46"/>
        <v>107665.875</v>
      </c>
    </row>
    <row r="108" spans="1:18" ht="12.75">
      <c r="A108" s="50">
        <v>40000</v>
      </c>
      <c r="B108" s="51">
        <v>0.95</v>
      </c>
      <c r="C108" s="51">
        <v>1.07</v>
      </c>
      <c r="D108" s="51">
        <v>1.18</v>
      </c>
      <c r="E108" s="51">
        <v>1.3</v>
      </c>
      <c r="F108" s="51">
        <v>1.41</v>
      </c>
      <c r="G108" s="48">
        <f t="shared" si="47"/>
        <v>105</v>
      </c>
      <c r="H108" s="45">
        <f t="shared" si="36"/>
        <v>5985</v>
      </c>
      <c r="I108" s="45">
        <f t="shared" si="37"/>
        <v>14766</v>
      </c>
      <c r="J108" s="45">
        <f t="shared" si="38"/>
        <v>26550</v>
      </c>
      <c r="K108" s="45">
        <f t="shared" si="39"/>
        <v>30231.6</v>
      </c>
      <c r="L108" s="45">
        <f t="shared" si="40"/>
        <v>37596</v>
      </c>
      <c r="M108" s="45">
        <f t="shared" si="41"/>
        <v>41574</v>
      </c>
      <c r="N108" s="45">
        <f t="shared" si="42"/>
        <v>49920</v>
      </c>
      <c r="O108" s="45">
        <f t="shared" si="43"/>
        <v>67172.4</v>
      </c>
      <c r="P108" s="45">
        <f t="shared" si="44"/>
        <v>81385.2</v>
      </c>
      <c r="Q108" s="45">
        <f t="shared" si="45"/>
        <v>92890.8</v>
      </c>
      <c r="R108" s="45">
        <f t="shared" si="46"/>
        <v>110910.6</v>
      </c>
    </row>
    <row r="109" spans="1:18" ht="12.75">
      <c r="A109" s="50">
        <v>42500</v>
      </c>
      <c r="B109" s="51">
        <v>0.92</v>
      </c>
      <c r="C109" s="51">
        <v>1.04</v>
      </c>
      <c r="D109" s="51">
        <v>1.15</v>
      </c>
      <c r="E109" s="51">
        <v>1.26</v>
      </c>
      <c r="F109" s="51">
        <v>1.37</v>
      </c>
      <c r="G109" s="48">
        <f t="shared" si="47"/>
        <v>106</v>
      </c>
      <c r="H109" s="45">
        <f t="shared" si="36"/>
        <v>6158.25</v>
      </c>
      <c r="I109" s="45">
        <f t="shared" si="37"/>
        <v>15249</v>
      </c>
      <c r="J109" s="45">
        <f t="shared" si="38"/>
        <v>27492.187499999996</v>
      </c>
      <c r="K109" s="45">
        <f t="shared" si="39"/>
        <v>31304.437499999996</v>
      </c>
      <c r="L109" s="45">
        <f t="shared" si="40"/>
        <v>38716.65</v>
      </c>
      <c r="M109" s="45">
        <f t="shared" si="41"/>
        <v>42813.225</v>
      </c>
      <c r="N109" s="45">
        <f t="shared" si="42"/>
        <v>51408</v>
      </c>
      <c r="O109" s="45">
        <f t="shared" si="43"/>
        <v>69345.975</v>
      </c>
      <c r="P109" s="45">
        <f t="shared" si="44"/>
        <v>84018.675</v>
      </c>
      <c r="Q109" s="45">
        <f t="shared" si="45"/>
        <v>95896.575</v>
      </c>
      <c r="R109" s="45">
        <f t="shared" si="46"/>
        <v>114499.46250000002</v>
      </c>
    </row>
    <row r="110" spans="1:18" ht="12.75">
      <c r="A110" s="50">
        <v>45000</v>
      </c>
      <c r="B110" s="51">
        <v>0.89</v>
      </c>
      <c r="C110" s="51">
        <v>1.01</v>
      </c>
      <c r="D110" s="51">
        <v>1.11</v>
      </c>
      <c r="E110" s="51">
        <v>1.23</v>
      </c>
      <c r="F110" s="51">
        <v>1.33</v>
      </c>
      <c r="G110" s="48">
        <f t="shared" si="47"/>
        <v>107</v>
      </c>
      <c r="H110" s="45">
        <f t="shared" si="36"/>
        <v>6307.875</v>
      </c>
      <c r="I110" s="45">
        <f t="shared" si="37"/>
        <v>15680.25</v>
      </c>
      <c r="J110" s="45">
        <f t="shared" si="38"/>
        <v>28096.875000000004</v>
      </c>
      <c r="K110" s="45">
        <f t="shared" si="39"/>
        <v>31992.975000000006</v>
      </c>
      <c r="L110" s="45">
        <f t="shared" si="40"/>
        <v>40018.05</v>
      </c>
      <c r="M110" s="45">
        <f t="shared" si="41"/>
        <v>44252.325</v>
      </c>
      <c r="N110" s="45">
        <f t="shared" si="42"/>
        <v>53136</v>
      </c>
      <c r="O110" s="45">
        <f t="shared" si="43"/>
        <v>71281.35</v>
      </c>
      <c r="P110" s="45">
        <f t="shared" si="44"/>
        <v>86363.55</v>
      </c>
      <c r="Q110" s="45">
        <f t="shared" si="45"/>
        <v>98572.95</v>
      </c>
      <c r="R110" s="45">
        <f t="shared" si="46"/>
        <v>117695.025</v>
      </c>
    </row>
    <row r="111" spans="1:18" ht="12.75">
      <c r="A111" s="50">
        <v>47500</v>
      </c>
      <c r="B111" s="51">
        <v>0.87</v>
      </c>
      <c r="C111" s="51">
        <v>0.98</v>
      </c>
      <c r="D111" s="51">
        <v>1.08</v>
      </c>
      <c r="E111" s="51">
        <v>1.19</v>
      </c>
      <c r="F111" s="51">
        <v>1.3</v>
      </c>
      <c r="G111" s="48">
        <f t="shared" si="47"/>
        <v>108</v>
      </c>
      <c r="H111" s="45">
        <f t="shared" si="36"/>
        <v>6508.6875</v>
      </c>
      <c r="I111" s="45">
        <f t="shared" si="37"/>
        <v>16059.75</v>
      </c>
      <c r="J111" s="45">
        <f t="shared" si="38"/>
        <v>28856.25</v>
      </c>
      <c r="K111" s="45">
        <f t="shared" si="39"/>
        <v>32857.65</v>
      </c>
      <c r="L111" s="45">
        <f t="shared" si="40"/>
        <v>40867.575</v>
      </c>
      <c r="M111" s="45">
        <f t="shared" si="41"/>
        <v>45191.7375</v>
      </c>
      <c r="N111" s="45">
        <f t="shared" si="42"/>
        <v>54264</v>
      </c>
      <c r="O111" s="45">
        <f t="shared" si="43"/>
        <v>73544.25</v>
      </c>
      <c r="P111" s="45">
        <f t="shared" si="44"/>
        <v>89105.25</v>
      </c>
      <c r="Q111" s="45">
        <f t="shared" si="45"/>
        <v>101702.25</v>
      </c>
      <c r="R111" s="45">
        <f t="shared" si="46"/>
        <v>121431.375</v>
      </c>
    </row>
    <row r="112" spans="1:18" ht="12.75">
      <c r="A112" s="50">
        <v>50000</v>
      </c>
      <c r="B112" s="51">
        <v>0.85</v>
      </c>
      <c r="C112" s="51">
        <v>0.96</v>
      </c>
      <c r="D112" s="51">
        <v>1.05</v>
      </c>
      <c r="E112" s="51">
        <v>1.16</v>
      </c>
      <c r="F112" s="51">
        <v>1.26</v>
      </c>
      <c r="G112" s="48">
        <f t="shared" si="47"/>
        <v>109</v>
      </c>
      <c r="H112" s="45">
        <f t="shared" si="36"/>
        <v>6693.75</v>
      </c>
      <c r="I112" s="45">
        <f t="shared" si="37"/>
        <v>16560</v>
      </c>
      <c r="J112" s="45">
        <f t="shared" si="38"/>
        <v>29531.25</v>
      </c>
      <c r="K112" s="45">
        <f t="shared" si="39"/>
        <v>33626.25</v>
      </c>
      <c r="L112" s="45">
        <f t="shared" si="40"/>
        <v>41933.99999999999</v>
      </c>
      <c r="M112" s="45">
        <f t="shared" si="41"/>
        <v>46370.99999999999</v>
      </c>
      <c r="N112" s="45">
        <f t="shared" si="42"/>
        <v>55679.99999999999</v>
      </c>
      <c r="O112" s="45">
        <f t="shared" si="43"/>
        <v>75033</v>
      </c>
      <c r="P112" s="45">
        <f t="shared" si="44"/>
        <v>90909</v>
      </c>
      <c r="Q112" s="45">
        <f t="shared" si="45"/>
        <v>103761</v>
      </c>
      <c r="R112" s="45">
        <f t="shared" si="46"/>
        <v>123889.5</v>
      </c>
    </row>
    <row r="113" spans="1:18" ht="12.75">
      <c r="A113" s="50">
        <v>52500</v>
      </c>
      <c r="B113" s="51">
        <v>0.83</v>
      </c>
      <c r="C113" s="51">
        <v>0.93</v>
      </c>
      <c r="D113" s="51">
        <v>1.03</v>
      </c>
      <c r="E113" s="51">
        <v>1.14</v>
      </c>
      <c r="F113" s="51">
        <v>1.23</v>
      </c>
      <c r="G113" s="48">
        <f t="shared" si="47"/>
        <v>110</v>
      </c>
      <c r="H113" s="45">
        <f t="shared" si="36"/>
        <v>6863.0625</v>
      </c>
      <c r="I113" s="45">
        <f t="shared" si="37"/>
        <v>16844.625</v>
      </c>
      <c r="J113" s="45">
        <f t="shared" si="38"/>
        <v>30417.1875</v>
      </c>
      <c r="K113" s="45">
        <f t="shared" si="39"/>
        <v>34635.0375</v>
      </c>
      <c r="L113" s="45">
        <f t="shared" si="40"/>
        <v>43271.54999999999</v>
      </c>
      <c r="M113" s="45">
        <f t="shared" si="41"/>
        <v>47850.07499999999</v>
      </c>
      <c r="N113" s="45">
        <f t="shared" si="42"/>
        <v>57455.99999999999</v>
      </c>
      <c r="O113" s="45">
        <f t="shared" si="43"/>
        <v>76908.825</v>
      </c>
      <c r="P113" s="45">
        <f t="shared" si="44"/>
        <v>93181.725</v>
      </c>
      <c r="Q113" s="45">
        <f t="shared" si="45"/>
        <v>106355.025</v>
      </c>
      <c r="R113" s="45">
        <f t="shared" si="46"/>
        <v>126986.7375</v>
      </c>
    </row>
    <row r="114" spans="1:18" ht="12.75">
      <c r="A114" s="50">
        <v>55000</v>
      </c>
      <c r="B114" s="51">
        <v>0.81</v>
      </c>
      <c r="C114" s="51">
        <v>0.91</v>
      </c>
      <c r="D114" s="51">
        <v>1</v>
      </c>
      <c r="E114" s="51">
        <v>1.11</v>
      </c>
      <c r="F114" s="51">
        <v>1.2</v>
      </c>
      <c r="G114" s="48">
        <f t="shared" si="47"/>
        <v>111</v>
      </c>
      <c r="H114" s="45">
        <f t="shared" si="36"/>
        <v>7016.625</v>
      </c>
      <c r="I114" s="45">
        <f t="shared" si="37"/>
        <v>17267.25</v>
      </c>
      <c r="J114" s="45">
        <f t="shared" si="38"/>
        <v>30937.5</v>
      </c>
      <c r="K114" s="45">
        <f t="shared" si="39"/>
        <v>35227.5</v>
      </c>
      <c r="L114" s="45">
        <f t="shared" si="40"/>
        <v>44139.15</v>
      </c>
      <c r="M114" s="45">
        <f t="shared" si="41"/>
        <v>48809.475</v>
      </c>
      <c r="N114" s="45">
        <f t="shared" si="42"/>
        <v>58608.00000000001</v>
      </c>
      <c r="O114" s="45">
        <f t="shared" si="43"/>
        <v>78606</v>
      </c>
      <c r="P114" s="45">
        <f t="shared" si="44"/>
        <v>95238</v>
      </c>
      <c r="Q114" s="45">
        <f t="shared" si="45"/>
        <v>108702</v>
      </c>
      <c r="R114" s="45">
        <f t="shared" si="46"/>
        <v>129789</v>
      </c>
    </row>
    <row r="115" spans="1:18" ht="12.75">
      <c r="A115" s="50">
        <v>57500</v>
      </c>
      <c r="B115" s="51">
        <v>0.79</v>
      </c>
      <c r="C115" s="51">
        <v>0.89</v>
      </c>
      <c r="D115" s="51">
        <v>0.98</v>
      </c>
      <c r="E115" s="51">
        <v>1.09</v>
      </c>
      <c r="F115" s="51">
        <v>1.18</v>
      </c>
      <c r="G115" s="48">
        <f t="shared" si="47"/>
        <v>112</v>
      </c>
      <c r="H115" s="45">
        <f t="shared" si="36"/>
        <v>7154.4375</v>
      </c>
      <c r="I115" s="45">
        <f t="shared" si="37"/>
        <v>17655.375</v>
      </c>
      <c r="J115" s="45">
        <f t="shared" si="38"/>
        <v>31696.875</v>
      </c>
      <c r="K115" s="45">
        <f t="shared" si="39"/>
        <v>36092.175</v>
      </c>
      <c r="L115" s="45">
        <f t="shared" si="40"/>
        <v>45314.025</v>
      </c>
      <c r="M115" s="45">
        <f t="shared" si="41"/>
        <v>50108.6625</v>
      </c>
      <c r="N115" s="45">
        <f t="shared" si="42"/>
        <v>60168.00000000001</v>
      </c>
      <c r="O115" s="45">
        <f t="shared" si="43"/>
        <v>80809.35</v>
      </c>
      <c r="P115" s="45">
        <f t="shared" si="44"/>
        <v>97907.55</v>
      </c>
      <c r="Q115" s="45">
        <f t="shared" si="45"/>
        <v>111748.95</v>
      </c>
      <c r="R115" s="45">
        <f t="shared" si="46"/>
        <v>133427.025</v>
      </c>
    </row>
    <row r="116" spans="1:18" ht="12.75">
      <c r="A116" s="50">
        <v>60000</v>
      </c>
      <c r="B116" s="51">
        <v>0.77</v>
      </c>
      <c r="C116" s="51">
        <v>0.87</v>
      </c>
      <c r="D116" s="51">
        <v>0.96</v>
      </c>
      <c r="E116" s="51">
        <v>1.05</v>
      </c>
      <c r="F116" s="51">
        <v>1.15</v>
      </c>
      <c r="G116" s="48">
        <f t="shared" si="47"/>
        <v>113</v>
      </c>
      <c r="H116" s="45">
        <f t="shared" si="36"/>
        <v>7276.5</v>
      </c>
      <c r="I116" s="45">
        <f t="shared" si="37"/>
        <v>18009</v>
      </c>
      <c r="J116" s="45">
        <f t="shared" si="38"/>
        <v>32400</v>
      </c>
      <c r="K116" s="45">
        <f t="shared" si="39"/>
        <v>36892.8</v>
      </c>
      <c r="L116" s="45">
        <f t="shared" si="40"/>
        <v>45549</v>
      </c>
      <c r="M116" s="45">
        <f t="shared" si="41"/>
        <v>50368.5</v>
      </c>
      <c r="N116" s="45">
        <f t="shared" si="42"/>
        <v>60480</v>
      </c>
      <c r="O116" s="45">
        <f t="shared" si="43"/>
        <v>82179</v>
      </c>
      <c r="P116" s="45">
        <f t="shared" si="44"/>
        <v>99567</v>
      </c>
      <c r="Q116" s="45">
        <f t="shared" si="45"/>
        <v>113643</v>
      </c>
      <c r="R116" s="45">
        <f t="shared" si="46"/>
        <v>135688.5</v>
      </c>
    </row>
    <row r="117" spans="1:18" ht="12.75">
      <c r="A117" s="50">
        <v>62500</v>
      </c>
      <c r="B117" s="51">
        <v>0.76</v>
      </c>
      <c r="C117" s="51">
        <v>0.85</v>
      </c>
      <c r="D117" s="51">
        <v>0.94</v>
      </c>
      <c r="E117" s="51">
        <v>1.04</v>
      </c>
      <c r="F117" s="51">
        <v>1.13</v>
      </c>
      <c r="G117" s="48">
        <f t="shared" si="47"/>
        <v>114</v>
      </c>
      <c r="H117" s="45">
        <f t="shared" si="36"/>
        <v>7481.25</v>
      </c>
      <c r="I117" s="45">
        <f t="shared" si="37"/>
        <v>18328.125</v>
      </c>
      <c r="J117" s="45">
        <f t="shared" si="38"/>
        <v>33046.875</v>
      </c>
      <c r="K117" s="45">
        <f t="shared" si="39"/>
        <v>37629.375</v>
      </c>
      <c r="L117" s="45">
        <f t="shared" si="40"/>
        <v>46995</v>
      </c>
      <c r="M117" s="45">
        <f t="shared" si="41"/>
        <v>51967.5</v>
      </c>
      <c r="N117" s="45">
        <f t="shared" si="42"/>
        <v>62400</v>
      </c>
      <c r="O117" s="45">
        <f t="shared" si="43"/>
        <v>84114.375</v>
      </c>
      <c r="P117" s="45">
        <f t="shared" si="44"/>
        <v>101911.875</v>
      </c>
      <c r="Q117" s="45">
        <f t="shared" si="45"/>
        <v>116319.375</v>
      </c>
      <c r="R117" s="45">
        <f t="shared" si="46"/>
        <v>138884.0625</v>
      </c>
    </row>
    <row r="118" spans="1:18" ht="12.75">
      <c r="A118" s="50">
        <v>65000</v>
      </c>
      <c r="B118" s="51">
        <v>0.74</v>
      </c>
      <c r="C118" s="51">
        <v>0.84</v>
      </c>
      <c r="D118" s="51">
        <v>0.93</v>
      </c>
      <c r="E118" s="51">
        <v>1.02</v>
      </c>
      <c r="F118" s="51">
        <v>1.11</v>
      </c>
      <c r="G118" s="48">
        <f t="shared" si="47"/>
        <v>115</v>
      </c>
      <c r="H118" s="45">
        <f t="shared" si="36"/>
        <v>7575.75</v>
      </c>
      <c r="I118" s="45">
        <f t="shared" si="37"/>
        <v>18837</v>
      </c>
      <c r="J118" s="45">
        <f t="shared" si="38"/>
        <v>34003.125</v>
      </c>
      <c r="K118" s="45">
        <f t="shared" si="39"/>
        <v>38718.225</v>
      </c>
      <c r="L118" s="45">
        <f t="shared" si="40"/>
        <v>47934.9</v>
      </c>
      <c r="M118" s="45">
        <f t="shared" si="41"/>
        <v>53006.85</v>
      </c>
      <c r="N118" s="45">
        <f t="shared" si="42"/>
        <v>63648</v>
      </c>
      <c r="O118" s="45">
        <f t="shared" si="43"/>
        <v>85930.65</v>
      </c>
      <c r="P118" s="45">
        <f t="shared" si="44"/>
        <v>104112.45</v>
      </c>
      <c r="Q118" s="45">
        <f t="shared" si="45"/>
        <v>118831.05</v>
      </c>
      <c r="R118" s="45">
        <f t="shared" si="46"/>
        <v>141882.975</v>
      </c>
    </row>
    <row r="119" spans="1:18" ht="12.75">
      <c r="A119" s="50">
        <v>67500</v>
      </c>
      <c r="B119" s="51">
        <v>0.73</v>
      </c>
      <c r="C119" s="51">
        <v>0.82</v>
      </c>
      <c r="D119" s="51">
        <v>0.91</v>
      </c>
      <c r="E119" s="51">
        <v>1</v>
      </c>
      <c r="F119" s="51">
        <v>1.09</v>
      </c>
      <c r="G119" s="48">
        <f t="shared" si="47"/>
        <v>116</v>
      </c>
      <c r="H119" s="45">
        <f t="shared" si="36"/>
        <v>7760.8125</v>
      </c>
      <c r="I119" s="45">
        <f t="shared" si="37"/>
        <v>19095.75</v>
      </c>
      <c r="J119" s="45">
        <f t="shared" si="38"/>
        <v>34551.5625</v>
      </c>
      <c r="K119" s="45">
        <f t="shared" si="39"/>
        <v>39342.7125</v>
      </c>
      <c r="L119" s="45">
        <f t="shared" si="40"/>
        <v>48802.5</v>
      </c>
      <c r="M119" s="45">
        <f t="shared" si="41"/>
        <v>53966.25</v>
      </c>
      <c r="N119" s="45">
        <f t="shared" si="42"/>
        <v>64800</v>
      </c>
      <c r="O119" s="45">
        <f t="shared" si="43"/>
        <v>87627.825</v>
      </c>
      <c r="P119" s="45">
        <f t="shared" si="44"/>
        <v>106168.725</v>
      </c>
      <c r="Q119" s="45">
        <f t="shared" si="45"/>
        <v>121178.025</v>
      </c>
      <c r="R119" s="45">
        <f t="shared" si="46"/>
        <v>144685.2375</v>
      </c>
    </row>
    <row r="120" spans="1:18" ht="12.75">
      <c r="A120" s="50">
        <v>70000</v>
      </c>
      <c r="B120" s="51">
        <v>0.72</v>
      </c>
      <c r="C120" s="51">
        <v>0.81</v>
      </c>
      <c r="D120" s="51">
        <v>0.89</v>
      </c>
      <c r="E120" s="51">
        <v>0.98</v>
      </c>
      <c r="F120" s="51">
        <v>1.07</v>
      </c>
      <c r="G120" s="48">
        <f t="shared" si="47"/>
        <v>117</v>
      </c>
      <c r="H120" s="45">
        <f t="shared" si="36"/>
        <v>7938</v>
      </c>
      <c r="I120" s="45">
        <f t="shared" si="37"/>
        <v>19561.500000000004</v>
      </c>
      <c r="J120" s="45">
        <f t="shared" si="38"/>
        <v>35043.75</v>
      </c>
      <c r="K120" s="45">
        <f t="shared" si="39"/>
        <v>39903.15</v>
      </c>
      <c r="L120" s="45">
        <f t="shared" si="40"/>
        <v>49597.8</v>
      </c>
      <c r="M120" s="45">
        <f t="shared" si="41"/>
        <v>54845.7</v>
      </c>
      <c r="N120" s="45">
        <f t="shared" si="42"/>
        <v>65856</v>
      </c>
      <c r="O120" s="45">
        <f t="shared" si="43"/>
        <v>89205.9</v>
      </c>
      <c r="P120" s="45">
        <f t="shared" si="44"/>
        <v>108080.7</v>
      </c>
      <c r="Q120" s="45">
        <f t="shared" si="45"/>
        <v>123360.3</v>
      </c>
      <c r="R120" s="45">
        <f t="shared" si="46"/>
        <v>147290.85</v>
      </c>
    </row>
    <row r="121" spans="1:18" ht="12.75">
      <c r="A121" s="50">
        <v>72500</v>
      </c>
      <c r="B121" s="51">
        <v>0.7</v>
      </c>
      <c r="C121" s="51">
        <v>0.79</v>
      </c>
      <c r="D121" s="51">
        <v>0.88</v>
      </c>
      <c r="E121" s="51">
        <v>0.97</v>
      </c>
      <c r="F121" s="51">
        <v>1.05</v>
      </c>
      <c r="G121" s="48">
        <f t="shared" si="47"/>
        <v>118</v>
      </c>
      <c r="H121" s="45">
        <f t="shared" si="36"/>
        <v>7993.125</v>
      </c>
      <c r="I121" s="45">
        <f t="shared" si="37"/>
        <v>19759.875</v>
      </c>
      <c r="J121" s="45">
        <f t="shared" si="38"/>
        <v>35887.5</v>
      </c>
      <c r="K121" s="45">
        <f t="shared" si="39"/>
        <v>40863.9</v>
      </c>
      <c r="L121" s="45">
        <f t="shared" si="40"/>
        <v>50844.975</v>
      </c>
      <c r="M121" s="45">
        <f t="shared" si="41"/>
        <v>56224.8375</v>
      </c>
      <c r="N121" s="45">
        <f t="shared" si="42"/>
        <v>67512</v>
      </c>
      <c r="O121" s="45">
        <f t="shared" si="43"/>
        <v>90664.875</v>
      </c>
      <c r="P121" s="45">
        <f t="shared" si="44"/>
        <v>109848.375</v>
      </c>
      <c r="Q121" s="45">
        <f t="shared" si="45"/>
        <v>125377.875</v>
      </c>
      <c r="R121" s="45">
        <f t="shared" si="46"/>
        <v>149699.8125</v>
      </c>
    </row>
    <row r="122" spans="1:18" ht="12.75">
      <c r="A122" s="50">
        <v>75000</v>
      </c>
      <c r="B122" s="51">
        <v>0.69</v>
      </c>
      <c r="C122" s="51">
        <v>0.78</v>
      </c>
      <c r="D122" s="51">
        <v>0.86</v>
      </c>
      <c r="E122" s="51">
        <v>0.95</v>
      </c>
      <c r="F122" s="51">
        <v>1.03</v>
      </c>
      <c r="G122" s="48">
        <f t="shared" si="47"/>
        <v>119</v>
      </c>
      <c r="H122" s="45">
        <f t="shared" si="36"/>
        <v>8150.624999999999</v>
      </c>
      <c r="I122" s="45">
        <f t="shared" si="37"/>
        <v>20182.5</v>
      </c>
      <c r="J122" s="45">
        <f t="shared" si="38"/>
        <v>36281.25</v>
      </c>
      <c r="K122" s="45">
        <f t="shared" si="39"/>
        <v>41312.25</v>
      </c>
      <c r="L122" s="45">
        <f t="shared" si="40"/>
        <v>51513.75</v>
      </c>
      <c r="M122" s="45">
        <f t="shared" si="41"/>
        <v>56964.375</v>
      </c>
      <c r="N122" s="45">
        <f t="shared" si="42"/>
        <v>68400</v>
      </c>
      <c r="O122" s="45">
        <f t="shared" si="43"/>
        <v>92004.75</v>
      </c>
      <c r="P122" s="45">
        <f t="shared" si="44"/>
        <v>111471.75</v>
      </c>
      <c r="Q122" s="45">
        <f t="shared" si="45"/>
        <v>127230.75</v>
      </c>
      <c r="R122" s="45">
        <f t="shared" si="46"/>
        <v>151912.125</v>
      </c>
    </row>
    <row r="123" spans="1:18" ht="12.75">
      <c r="A123" s="50">
        <v>77500</v>
      </c>
      <c r="B123" s="51">
        <v>0.68</v>
      </c>
      <c r="C123" s="51">
        <v>0.77</v>
      </c>
      <c r="D123" s="51">
        <v>0.85</v>
      </c>
      <c r="E123" s="51">
        <v>0.93</v>
      </c>
      <c r="F123" s="51">
        <v>1.02</v>
      </c>
      <c r="G123" s="48">
        <f t="shared" si="47"/>
        <v>120</v>
      </c>
      <c r="H123" s="45">
        <f t="shared" si="36"/>
        <v>8300.250000000002</v>
      </c>
      <c r="I123" s="45">
        <f t="shared" si="37"/>
        <v>20587.875</v>
      </c>
      <c r="J123" s="45">
        <f t="shared" si="38"/>
        <v>37054.6875</v>
      </c>
      <c r="K123" s="45">
        <f t="shared" si="39"/>
        <v>42192.9375</v>
      </c>
      <c r="L123" s="45">
        <f t="shared" si="40"/>
        <v>52110.225</v>
      </c>
      <c r="M123" s="45">
        <f t="shared" si="41"/>
        <v>57623.9625</v>
      </c>
      <c r="N123" s="45">
        <f t="shared" si="42"/>
        <v>69192</v>
      </c>
      <c r="O123" s="45">
        <f t="shared" si="43"/>
        <v>94148.55</v>
      </c>
      <c r="P123" s="45">
        <f t="shared" si="44"/>
        <v>114069.15</v>
      </c>
      <c r="Q123" s="45">
        <f t="shared" si="45"/>
        <v>130195.35</v>
      </c>
      <c r="R123" s="45">
        <f t="shared" si="46"/>
        <v>155451.825</v>
      </c>
    </row>
    <row r="124" spans="1:18" ht="15" customHeight="1">
      <c r="A124" s="50">
        <v>80000</v>
      </c>
      <c r="B124" s="51">
        <v>0.67</v>
      </c>
      <c r="C124" s="51">
        <v>0.75</v>
      </c>
      <c r="D124" s="51">
        <v>0.83</v>
      </c>
      <c r="E124" s="51">
        <v>0.92</v>
      </c>
      <c r="F124" s="51">
        <v>1</v>
      </c>
      <c r="G124" s="48">
        <f t="shared" si="47"/>
        <v>121</v>
      </c>
      <c r="H124" s="45">
        <f t="shared" si="36"/>
        <v>8442</v>
      </c>
      <c r="I124" s="45">
        <f t="shared" si="37"/>
        <v>20700</v>
      </c>
      <c r="J124" s="45">
        <f t="shared" si="38"/>
        <v>37350</v>
      </c>
      <c r="K124" s="45">
        <f t="shared" si="39"/>
        <v>42529.2</v>
      </c>
      <c r="L124" s="45">
        <f t="shared" si="40"/>
        <v>53212.8</v>
      </c>
      <c r="M124" s="45">
        <f t="shared" si="41"/>
        <v>58843.2</v>
      </c>
      <c r="N124" s="45">
        <f t="shared" si="42"/>
        <v>70656</v>
      </c>
      <c r="O124" s="45">
        <f t="shared" si="43"/>
        <v>95280</v>
      </c>
      <c r="P124" s="45">
        <f t="shared" si="44"/>
        <v>115440</v>
      </c>
      <c r="Q124" s="45">
        <f t="shared" si="45"/>
        <v>131760</v>
      </c>
      <c r="R124" s="45">
        <f t="shared" si="46"/>
        <v>157320</v>
      </c>
    </row>
    <row r="125" spans="1:18" ht="12.75" customHeight="1" hidden="1">
      <c r="A125" s="54">
        <v>80500</v>
      </c>
      <c r="B125" s="51">
        <v>0.67</v>
      </c>
      <c r="C125" s="51">
        <v>0.75</v>
      </c>
      <c r="D125" s="51">
        <v>0.83</v>
      </c>
      <c r="E125" s="51">
        <v>0.92</v>
      </c>
      <c r="F125" s="51">
        <v>1</v>
      </c>
      <c r="G125" s="48">
        <f t="shared" si="47"/>
        <v>122</v>
      </c>
      <c r="H125" s="45">
        <f t="shared" si="36"/>
        <v>8494.7625</v>
      </c>
      <c r="I125" s="45">
        <f t="shared" si="37"/>
        <v>20829.375</v>
      </c>
      <c r="J125" s="45">
        <f t="shared" si="38"/>
        <v>37583.4375</v>
      </c>
      <c r="K125" s="45">
        <f t="shared" si="39"/>
        <v>42795.0075</v>
      </c>
      <c r="L125" s="45">
        <f t="shared" si="40"/>
        <v>53545.38</v>
      </c>
      <c r="M125" s="45">
        <f t="shared" si="41"/>
        <v>59210.97</v>
      </c>
      <c r="N125" s="45">
        <f t="shared" si="42"/>
        <v>71097.6</v>
      </c>
      <c r="O125" s="45">
        <f t="shared" si="43"/>
        <v>95875.5</v>
      </c>
      <c r="P125" s="45">
        <f t="shared" si="44"/>
        <v>116161.5</v>
      </c>
      <c r="Q125" s="45">
        <f t="shared" si="45"/>
        <v>132583.5</v>
      </c>
      <c r="R125" s="45">
        <f t="shared" si="46"/>
        <v>158303.25</v>
      </c>
    </row>
    <row r="126" spans="1:15" ht="10.5" customHeight="1">
      <c r="A126" s="54"/>
      <c r="B126" s="55"/>
      <c r="C126" s="55"/>
      <c r="D126" s="55"/>
      <c r="E126" s="55"/>
      <c r="F126" s="55"/>
      <c r="G126" s="56"/>
      <c r="H126" s="54"/>
      <c r="I126" s="54"/>
      <c r="J126" s="54"/>
      <c r="K126" s="54"/>
      <c r="L126" s="54"/>
      <c r="M126" s="54"/>
      <c r="N126" s="54"/>
      <c r="O126" s="54"/>
    </row>
    <row r="127" spans="1:16" ht="12.75">
      <c r="A127" s="26" t="s">
        <v>51</v>
      </c>
      <c r="D127"/>
      <c r="J127" s="63">
        <v>0.6</v>
      </c>
      <c r="K127" s="54"/>
      <c r="L127" s="54"/>
      <c r="M127" s="54"/>
      <c r="N127" s="54"/>
      <c r="O127" s="54"/>
      <c r="P127" s="54"/>
    </row>
    <row r="128" spans="1:16" ht="12.75">
      <c r="A128" s="26" t="s">
        <v>52</v>
      </c>
      <c r="D128"/>
      <c r="J128" s="63">
        <v>0.5</v>
      </c>
      <c r="K128" s="54"/>
      <c r="L128" s="54"/>
      <c r="M128" s="54"/>
      <c r="N128" s="54"/>
      <c r="O128" s="54"/>
      <c r="P128" s="54"/>
    </row>
    <row r="129" spans="1:17" ht="12.75">
      <c r="A129" s="26" t="s">
        <v>53</v>
      </c>
      <c r="D129"/>
      <c r="J129" s="63">
        <v>1</v>
      </c>
      <c r="K129" s="54"/>
      <c r="L129" s="54"/>
      <c r="M129" s="373" t="s">
        <v>70</v>
      </c>
      <c r="N129" s="373"/>
      <c r="O129" s="373"/>
      <c r="P129" s="375">
        <v>407.5</v>
      </c>
      <c r="Q129" s="375"/>
    </row>
    <row r="130" spans="1:16" ht="12.75">
      <c r="A130" s="26" t="s">
        <v>54</v>
      </c>
      <c r="D130"/>
      <c r="J130" s="63">
        <v>0.5</v>
      </c>
      <c r="K130" s="54"/>
      <c r="L130" s="54"/>
      <c r="M130" s="54"/>
      <c r="N130" s="54"/>
      <c r="O130" s="54"/>
      <c r="P130" s="54"/>
    </row>
    <row r="131" spans="4:17" ht="12.75">
      <c r="D131"/>
      <c r="I131" s="27"/>
      <c r="J131" s="54"/>
      <c r="K131" s="54"/>
      <c r="L131" s="54"/>
      <c r="M131" s="373" t="s">
        <v>71</v>
      </c>
      <c r="N131" s="373"/>
      <c r="O131" s="373"/>
      <c r="P131" s="70">
        <v>150</v>
      </c>
      <c r="Q131" s="71" t="s">
        <v>72</v>
      </c>
    </row>
    <row r="132" spans="1:17" ht="12.75">
      <c r="A132" s="66" t="s">
        <v>73</v>
      </c>
      <c r="M132" s="66"/>
      <c r="P132" s="67"/>
      <c r="Q132" s="67"/>
    </row>
    <row r="133" spans="1:19" ht="12.75">
      <c r="A133" s="26" t="s">
        <v>57</v>
      </c>
      <c r="K133" s="68">
        <v>1</v>
      </c>
      <c r="L133" s="74"/>
      <c r="M133" s="27"/>
      <c r="N133" s="27"/>
      <c r="O133" s="27"/>
      <c r="P133" s="67"/>
      <c r="Q133" s="67"/>
      <c r="R133" s="27"/>
      <c r="S133" s="28"/>
    </row>
    <row r="134" spans="1:20" ht="12.75">
      <c r="A134" s="26" t="s">
        <v>58</v>
      </c>
      <c r="K134" s="68">
        <v>0.5</v>
      </c>
      <c r="L134" s="67"/>
      <c r="M134" s="26"/>
      <c r="N134" s="27"/>
      <c r="O134" s="27"/>
      <c r="P134" s="27"/>
      <c r="Q134" s="67"/>
      <c r="S134" s="27"/>
      <c r="T134" s="28"/>
    </row>
    <row r="135" spans="1:20" ht="12.75">
      <c r="A135" s="26" t="s">
        <v>59</v>
      </c>
      <c r="K135" s="68">
        <v>0.25</v>
      </c>
      <c r="M135" s="26"/>
      <c r="N135" s="27"/>
      <c r="O135" s="27"/>
      <c r="P135" s="27"/>
      <c r="Q135" s="67"/>
      <c r="R135" s="67"/>
      <c r="S135" s="27"/>
      <c r="T135" s="28"/>
    </row>
    <row r="136" spans="1:20" ht="12.75">
      <c r="A136" s="26" t="s">
        <v>60</v>
      </c>
      <c r="K136" s="68">
        <v>0.15</v>
      </c>
      <c r="L136" t="s">
        <v>61</v>
      </c>
      <c r="M136" s="26"/>
      <c r="N136" s="27"/>
      <c r="O136" s="27"/>
      <c r="P136" s="27"/>
      <c r="Q136" s="67"/>
      <c r="S136" s="27"/>
      <c r="T136" s="28"/>
    </row>
    <row r="137" spans="9:17" ht="12.75">
      <c r="I137" s="27"/>
      <c r="M137" s="26"/>
      <c r="Q137" s="67"/>
    </row>
    <row r="138" spans="1:8" ht="12.75">
      <c r="A138" s="66" t="s">
        <v>74</v>
      </c>
      <c r="B138" s="75"/>
      <c r="C138" s="76"/>
      <c r="D138" s="75"/>
      <c r="E138" s="75"/>
      <c r="F138" s="77"/>
      <c r="G138" s="66" t="s">
        <v>74</v>
      </c>
      <c r="H138" s="75"/>
    </row>
    <row r="139" spans="1:9" ht="12.75">
      <c r="A139" s="74" t="s">
        <v>75</v>
      </c>
      <c r="C139" s="75"/>
      <c r="D139" s="76"/>
      <c r="E139" s="75"/>
      <c r="F139" s="75"/>
      <c r="G139" s="77"/>
      <c r="H139" s="76"/>
      <c r="I139" s="75"/>
    </row>
    <row r="140" spans="1:9" ht="12.75">
      <c r="A140" s="78"/>
      <c r="B140" s="75"/>
      <c r="C140" s="75"/>
      <c r="D140" s="76"/>
      <c r="E140" s="75"/>
      <c r="F140" s="75"/>
      <c r="G140" s="77"/>
      <c r="H140" s="76"/>
      <c r="I140" s="75"/>
    </row>
    <row r="141" spans="1:9" ht="12.75">
      <c r="A141" s="78"/>
      <c r="B141" s="75"/>
      <c r="C141" s="75"/>
      <c r="D141" s="76"/>
      <c r="E141" s="75"/>
      <c r="F141" s="75"/>
      <c r="G141" s="77"/>
      <c r="H141" s="76"/>
      <c r="I141" s="75"/>
    </row>
  </sheetData>
  <mergeCells count="3">
    <mergeCell ref="M129:O129"/>
    <mergeCell ref="P129:Q129"/>
    <mergeCell ref="M131:O131"/>
  </mergeCells>
  <printOptions/>
  <pageMargins left="0.6694444444444445" right="0.15763888888888888" top="0.9847222222222223" bottom="0.5097222222222222" header="0.4902777777777778" footer="0.11805555555555557"/>
  <pageSetup horizontalDpi="300" verticalDpi="300" orientation="portrait" paperSize="9" scale="85"/>
  <headerFooter alignWithMargins="0">
    <oddHeader>&amp;CTMMOB MAKİNA MÜHENDİSLERİ ODASI EDİRNE ŞUBESİ ETKİNLİK ALANINDA
01.01.2007-30.06.2007 TARİHLERİ  ARASINDA UYGULANACAK TESİSAT MÜHENDİSLİĞİ PROJE HİZMETLERİ ve TEKNİK UYGULAMA SORUMLULUĞU HİZMETLERİ ASGARİ ÜCRETLERİ</oddHeader>
    <oddFooter>&amp;CSayfa  &amp;P  /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L27"/>
  <sheetViews>
    <sheetView showZeros="0" workbookViewId="0" topLeftCell="A1">
      <selection activeCell="C16" sqref="C16"/>
    </sheetView>
  </sheetViews>
  <sheetFormatPr defaultColWidth="9.140625" defaultRowHeight="12.75"/>
  <cols>
    <col min="1" max="1" width="7.57421875" style="26" customWidth="1"/>
    <col min="2" max="2" width="8.00390625" style="26" customWidth="1"/>
    <col min="3" max="7" width="11.421875" style="27" customWidth="1"/>
    <col min="8" max="8" width="11.421875" style="28" customWidth="1"/>
    <col min="9" max="12" width="11.421875" style="0" customWidth="1"/>
    <col min="13" max="16384" width="9.00390625" style="0" customWidth="1"/>
  </cols>
  <sheetData>
    <row r="3" spans="1:12" ht="39.75" customHeight="1">
      <c r="A3" s="79"/>
      <c r="B3" s="80" t="s">
        <v>76</v>
      </c>
      <c r="C3" s="81" t="s">
        <v>77</v>
      </c>
      <c r="D3" s="82" t="s">
        <v>78</v>
      </c>
      <c r="E3" s="82" t="s">
        <v>79</v>
      </c>
      <c r="F3" s="82" t="s">
        <v>80</v>
      </c>
      <c r="G3" s="82" t="s">
        <v>81</v>
      </c>
      <c r="H3" s="82" t="s">
        <v>82</v>
      </c>
      <c r="I3" s="82" t="s">
        <v>83</v>
      </c>
      <c r="J3" s="82" t="s">
        <v>84</v>
      </c>
      <c r="K3" s="82" t="s">
        <v>85</v>
      </c>
      <c r="L3" s="82" t="s">
        <v>86</v>
      </c>
    </row>
    <row r="4" spans="1:12" s="41" customFormat="1" ht="24.75" customHeight="1">
      <c r="A4" s="83" t="s">
        <v>87</v>
      </c>
      <c r="B4" s="84"/>
      <c r="C4" s="85">
        <v>1</v>
      </c>
      <c r="D4" s="86">
        <v>2</v>
      </c>
      <c r="E4" s="86">
        <v>3</v>
      </c>
      <c r="F4" s="86">
        <v>4</v>
      </c>
      <c r="G4" s="86">
        <v>5</v>
      </c>
      <c r="H4" s="85">
        <v>6</v>
      </c>
      <c r="I4" s="87">
        <v>7</v>
      </c>
      <c r="J4" s="86">
        <v>8</v>
      </c>
      <c r="K4" s="86">
        <v>9</v>
      </c>
      <c r="L4" s="86">
        <v>10</v>
      </c>
    </row>
    <row r="5" spans="1:12" ht="30" customHeight="1">
      <c r="A5" s="88">
        <v>1</v>
      </c>
      <c r="B5" s="89">
        <v>1</v>
      </c>
      <c r="C5" s="90">
        <v>5</v>
      </c>
      <c r="D5" s="91">
        <v>6</v>
      </c>
      <c r="E5" s="91">
        <v>7</v>
      </c>
      <c r="F5" s="91">
        <v>9</v>
      </c>
      <c r="G5" s="91">
        <v>10</v>
      </c>
      <c r="H5" s="91">
        <v>11</v>
      </c>
      <c r="I5" s="91">
        <v>12</v>
      </c>
      <c r="J5" s="91">
        <v>13</v>
      </c>
      <c r="K5" s="91">
        <v>14</v>
      </c>
      <c r="L5" s="91">
        <v>15</v>
      </c>
    </row>
    <row r="6" spans="1:12" ht="30" customHeight="1">
      <c r="A6" s="88">
        <v>2</v>
      </c>
      <c r="B6" s="92">
        <v>2</v>
      </c>
      <c r="C6" s="93">
        <v>7</v>
      </c>
      <c r="D6" s="94">
        <v>9</v>
      </c>
      <c r="E6" s="94">
        <v>11</v>
      </c>
      <c r="F6" s="94">
        <v>12</v>
      </c>
      <c r="G6" s="94">
        <v>13</v>
      </c>
      <c r="H6" s="94">
        <v>14</v>
      </c>
      <c r="I6" s="94">
        <v>15</v>
      </c>
      <c r="J6" s="94">
        <v>16</v>
      </c>
      <c r="K6" s="94">
        <v>16</v>
      </c>
      <c r="L6" s="94">
        <v>17</v>
      </c>
    </row>
    <row r="7" spans="1:12" s="49" customFormat="1" ht="30" customHeight="1">
      <c r="A7" s="95">
        <v>3</v>
      </c>
      <c r="B7" s="96">
        <v>3</v>
      </c>
      <c r="C7" s="90">
        <v>8</v>
      </c>
      <c r="D7" s="91">
        <v>10</v>
      </c>
      <c r="E7" s="91">
        <v>12</v>
      </c>
      <c r="F7" s="91">
        <v>13</v>
      </c>
      <c r="G7" s="91">
        <v>14</v>
      </c>
      <c r="H7" s="91">
        <v>15</v>
      </c>
      <c r="I7" s="91">
        <v>16</v>
      </c>
      <c r="J7" s="91">
        <v>17</v>
      </c>
      <c r="K7" s="91">
        <v>18</v>
      </c>
      <c r="L7" s="91">
        <v>19</v>
      </c>
    </row>
    <row r="8" spans="1:12" s="49" customFormat="1" ht="30" customHeight="1">
      <c r="A8" s="88">
        <v>4</v>
      </c>
      <c r="B8" s="92">
        <v>4</v>
      </c>
      <c r="C8" s="90">
        <v>9</v>
      </c>
      <c r="D8" s="91">
        <v>11</v>
      </c>
      <c r="E8" s="91">
        <v>13</v>
      </c>
      <c r="F8" s="91">
        <v>15</v>
      </c>
      <c r="G8" s="91">
        <v>16</v>
      </c>
      <c r="H8" s="91">
        <v>17</v>
      </c>
      <c r="I8" s="91">
        <v>18</v>
      </c>
      <c r="J8" s="91">
        <v>19</v>
      </c>
      <c r="K8" s="91">
        <v>20</v>
      </c>
      <c r="L8" s="91">
        <v>21</v>
      </c>
    </row>
    <row r="9" spans="1:12" s="49" customFormat="1" ht="30" customHeight="1">
      <c r="A9" s="88">
        <v>5</v>
      </c>
      <c r="B9" s="92">
        <v>5</v>
      </c>
      <c r="C9" s="90">
        <v>10</v>
      </c>
      <c r="D9" s="91">
        <v>12</v>
      </c>
      <c r="E9" s="91">
        <v>15</v>
      </c>
      <c r="F9" s="91">
        <v>17</v>
      </c>
      <c r="G9" s="91">
        <v>18</v>
      </c>
      <c r="H9" s="91">
        <v>19</v>
      </c>
      <c r="I9" s="91">
        <v>20</v>
      </c>
      <c r="J9" s="91">
        <v>21</v>
      </c>
      <c r="K9" s="91">
        <v>22</v>
      </c>
      <c r="L9" s="91">
        <v>23</v>
      </c>
    </row>
    <row r="10" spans="1:12" s="49" customFormat="1" ht="30" customHeight="1">
      <c r="A10" s="88">
        <v>6</v>
      </c>
      <c r="B10" s="92">
        <v>6</v>
      </c>
      <c r="C10" s="90">
        <v>11</v>
      </c>
      <c r="D10" s="91">
        <v>13</v>
      </c>
      <c r="E10" s="91">
        <v>16</v>
      </c>
      <c r="F10" s="91">
        <v>19</v>
      </c>
      <c r="G10" s="91">
        <v>20</v>
      </c>
      <c r="H10" s="91">
        <v>21</v>
      </c>
      <c r="I10" s="91">
        <v>22</v>
      </c>
      <c r="J10" s="91">
        <v>23</v>
      </c>
      <c r="K10" s="91">
        <v>24</v>
      </c>
      <c r="L10" s="91">
        <v>25</v>
      </c>
    </row>
    <row r="11" spans="1:12" ht="30" customHeight="1">
      <c r="A11" s="88">
        <v>7</v>
      </c>
      <c r="B11" s="92">
        <v>7</v>
      </c>
      <c r="C11" s="93">
        <v>12</v>
      </c>
      <c r="D11" s="94">
        <v>14</v>
      </c>
      <c r="E11" s="94">
        <v>17</v>
      </c>
      <c r="F11" s="94">
        <v>20</v>
      </c>
      <c r="G11" s="94">
        <v>22</v>
      </c>
      <c r="H11" s="94">
        <v>23</v>
      </c>
      <c r="I11" s="94">
        <v>24</v>
      </c>
      <c r="J11" s="94">
        <v>25</v>
      </c>
      <c r="K11" s="94">
        <v>26</v>
      </c>
      <c r="L11" s="94">
        <v>27</v>
      </c>
    </row>
    <row r="12" spans="1:12" ht="30" customHeight="1">
      <c r="A12" s="88">
        <v>8</v>
      </c>
      <c r="B12" s="92">
        <v>8</v>
      </c>
      <c r="C12" s="90">
        <v>13</v>
      </c>
      <c r="D12" s="91">
        <v>15</v>
      </c>
      <c r="E12" s="91">
        <v>18</v>
      </c>
      <c r="F12" s="91">
        <v>21</v>
      </c>
      <c r="G12" s="91">
        <v>23</v>
      </c>
      <c r="H12" s="91">
        <v>25</v>
      </c>
      <c r="I12" s="91">
        <v>26</v>
      </c>
      <c r="J12" s="91">
        <v>27</v>
      </c>
      <c r="K12" s="91">
        <v>28</v>
      </c>
      <c r="L12" s="91">
        <v>29</v>
      </c>
    </row>
    <row r="13" spans="1:12" ht="30" customHeight="1">
      <c r="A13" s="88">
        <v>9</v>
      </c>
      <c r="B13" s="92">
        <v>9</v>
      </c>
      <c r="C13" s="90">
        <v>14</v>
      </c>
      <c r="D13" s="91">
        <v>16</v>
      </c>
      <c r="E13" s="91">
        <v>19</v>
      </c>
      <c r="F13" s="91">
        <v>22</v>
      </c>
      <c r="G13" s="91">
        <v>24</v>
      </c>
      <c r="H13" s="91">
        <v>26</v>
      </c>
      <c r="I13" s="91">
        <v>28</v>
      </c>
      <c r="J13" s="91">
        <v>29</v>
      </c>
      <c r="K13" s="91">
        <v>30</v>
      </c>
      <c r="L13" s="91">
        <v>31</v>
      </c>
    </row>
    <row r="14" spans="1:12" ht="30" customHeight="1">
      <c r="A14" s="88">
        <v>10</v>
      </c>
      <c r="B14" s="92">
        <v>10</v>
      </c>
      <c r="C14" s="90">
        <v>15</v>
      </c>
      <c r="D14" s="91">
        <v>17</v>
      </c>
      <c r="E14" s="91">
        <v>20</v>
      </c>
      <c r="F14" s="91">
        <v>23</v>
      </c>
      <c r="G14" s="91">
        <v>25</v>
      </c>
      <c r="H14" s="91">
        <v>27</v>
      </c>
      <c r="I14" s="91">
        <v>29</v>
      </c>
      <c r="J14" s="91">
        <v>31</v>
      </c>
      <c r="K14" s="91">
        <v>32</v>
      </c>
      <c r="L14" s="91">
        <v>33</v>
      </c>
    </row>
    <row r="15" spans="1:12" ht="30" customHeight="1">
      <c r="A15" s="88">
        <v>11</v>
      </c>
      <c r="B15" s="92">
        <v>11</v>
      </c>
      <c r="C15" s="90">
        <v>16</v>
      </c>
      <c r="D15" s="91">
        <v>18</v>
      </c>
      <c r="E15" s="91">
        <v>21</v>
      </c>
      <c r="F15" s="91">
        <v>24</v>
      </c>
      <c r="G15" s="91">
        <v>26</v>
      </c>
      <c r="H15" s="91">
        <v>28</v>
      </c>
      <c r="I15" s="91">
        <v>30</v>
      </c>
      <c r="J15" s="91">
        <v>32</v>
      </c>
      <c r="K15" s="91">
        <v>34</v>
      </c>
      <c r="L15" s="91">
        <v>35</v>
      </c>
    </row>
    <row r="16" spans="1:12" ht="30.75" customHeight="1">
      <c r="A16" s="88">
        <v>12</v>
      </c>
      <c r="B16" s="92">
        <v>12</v>
      </c>
      <c r="C16" s="90">
        <v>17</v>
      </c>
      <c r="D16" s="91">
        <v>19</v>
      </c>
      <c r="E16" s="91">
        <v>22</v>
      </c>
      <c r="F16" s="91">
        <v>25</v>
      </c>
      <c r="G16" s="91">
        <v>27</v>
      </c>
      <c r="H16" s="91">
        <v>29</v>
      </c>
      <c r="I16" s="91">
        <v>31</v>
      </c>
      <c r="J16" s="91">
        <v>33</v>
      </c>
      <c r="K16" s="91">
        <v>35</v>
      </c>
      <c r="L16" s="91">
        <v>37</v>
      </c>
    </row>
    <row r="17" spans="1:8" ht="12.75">
      <c r="A17" s="54"/>
      <c r="B17" s="54"/>
      <c r="C17" s="55"/>
      <c r="D17" s="55"/>
      <c r="E17" s="55"/>
      <c r="F17" s="55"/>
      <c r="G17" s="55"/>
      <c r="H17" s="56"/>
    </row>
    <row r="18" spans="1:8" ht="12.75">
      <c r="A18" s="54"/>
      <c r="B18" s="54"/>
      <c r="C18" s="55"/>
      <c r="D18" s="55"/>
      <c r="E18" s="55"/>
      <c r="F18" s="55"/>
      <c r="G18" s="55"/>
      <c r="H18" s="97"/>
    </row>
    <row r="19" spans="1:8" ht="12.75">
      <c r="A19" s="54"/>
      <c r="B19" s="54"/>
      <c r="C19" s="55"/>
      <c r="D19" s="55"/>
      <c r="E19" s="55"/>
      <c r="F19" s="55"/>
      <c r="G19" s="55"/>
      <c r="H19" s="56"/>
    </row>
    <row r="20" spans="5:7" ht="12.75">
      <c r="E20" s="27" t="s">
        <v>88</v>
      </c>
      <c r="G20" s="27">
        <f>'ASGARİ ÜCRET FORMU'!F19/SÖZLEŞME!M26</f>
        <v>360</v>
      </c>
    </row>
    <row r="21" spans="6:9" ht="12.75">
      <c r="F21" s="27" t="s">
        <v>89</v>
      </c>
      <c r="G21">
        <f>IF(G20&lt;101,1,IF(G20&lt;201,2,IF(G20&lt;301,3,IF(G20&lt;401,4,IF(G20&lt;501,5,0)))))</f>
        <v>4</v>
      </c>
      <c r="H21" s="28" t="s">
        <v>89</v>
      </c>
      <c r="I21">
        <f>IF(G20&lt;501,0,IF(G20&lt;601,6,IF(G20&lt;701,7,IF(G20&lt;801,8,IF(G20&lt;901,9,10)))))</f>
        <v>0</v>
      </c>
    </row>
    <row r="22" spans="6:7" ht="12.75">
      <c r="F22" s="27" t="s">
        <v>90</v>
      </c>
      <c r="G22" s="28">
        <f>IF(G21&gt;0,G21,I21)</f>
        <v>4</v>
      </c>
    </row>
    <row r="23" spans="5:7" ht="12.75">
      <c r="E23" s="27" t="s">
        <v>91</v>
      </c>
      <c r="G23" s="28">
        <f>SÖZLEŞME!M26</f>
        <v>1</v>
      </c>
    </row>
    <row r="24" spans="4:8" ht="12.75">
      <c r="D24" s="27" t="s">
        <v>92</v>
      </c>
      <c r="G24" s="98">
        <f>VLOOKUP(G23,B4:L16,G22+1)</f>
        <v>9</v>
      </c>
      <c r="H24" s="56"/>
    </row>
    <row r="25" spans="4:8" ht="12.75">
      <c r="D25" s="27" t="s">
        <v>93</v>
      </c>
      <c r="G25" s="98">
        <f>IF(G23&lt;12,G24,(G23-12)+G24)</f>
        <v>9</v>
      </c>
      <c r="H25" s="56"/>
    </row>
    <row r="27" ht="12.75">
      <c r="G27" s="9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72"/>
  <sheetViews>
    <sheetView showZeros="0" workbookViewId="0" topLeftCell="A10">
      <selection activeCell="G26" sqref="G26"/>
    </sheetView>
  </sheetViews>
  <sheetFormatPr defaultColWidth="9.140625" defaultRowHeight="9.75" customHeight="1"/>
  <cols>
    <col min="1" max="1" width="1.421875" style="41" customWidth="1"/>
    <col min="2" max="4" width="2.28125" style="41" customWidth="1"/>
    <col min="5" max="5" width="2.57421875" style="41" customWidth="1"/>
    <col min="6" max="8" width="2.28125" style="41" customWidth="1"/>
    <col min="9" max="9" width="3.00390625" style="41" customWidth="1"/>
    <col min="10" max="29" width="2.28125" style="41" customWidth="1"/>
    <col min="30" max="30" width="1.421875" style="41" customWidth="1"/>
    <col min="31" max="31" width="3.00390625" style="41" customWidth="1"/>
    <col min="32" max="32" width="1.8515625" style="41" customWidth="1"/>
    <col min="33" max="38" width="2.28125" style="41" customWidth="1"/>
    <col min="39" max="39" width="2.00390625" style="41" customWidth="1"/>
    <col min="40" max="40" width="1.28515625" style="41" customWidth="1"/>
    <col min="41" max="41" width="0.9921875" style="41" customWidth="1"/>
    <col min="42" max="16384" width="2.28125" style="41" customWidth="1"/>
  </cols>
  <sheetData>
    <row r="1" spans="2:39" s="100" customFormat="1" ht="15.75" customHeight="1">
      <c r="B1" s="376" t="s">
        <v>94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7" t="s">
        <v>95</v>
      </c>
      <c r="AH1" s="377"/>
      <c r="AI1" s="377"/>
      <c r="AJ1" s="377"/>
      <c r="AK1" s="377"/>
      <c r="AL1" s="377"/>
      <c r="AM1" s="377"/>
    </row>
    <row r="2" spans="2:39" s="100" customFormat="1" ht="15.75" customHeight="1">
      <c r="B2" s="378" t="s">
        <v>96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101"/>
      <c r="AH2" s="102"/>
      <c r="AI2" s="102"/>
      <c r="AJ2" s="102"/>
      <c r="AK2" s="102"/>
      <c r="AL2" s="102"/>
      <c r="AM2" s="103"/>
    </row>
    <row r="3" ht="6" customHeight="1"/>
    <row r="4" ht="12.75" customHeight="1">
      <c r="B4" s="104" t="s">
        <v>97</v>
      </c>
    </row>
    <row r="5" ht="5.25" customHeight="1"/>
    <row r="6" spans="2:26" ht="11.25" customHeight="1">
      <c r="B6" s="105" t="s">
        <v>98</v>
      </c>
      <c r="C6" s="106"/>
      <c r="D6" s="106"/>
      <c r="E6" s="106"/>
      <c r="F6" s="106"/>
      <c r="G6" s="106"/>
      <c r="H6" s="106"/>
      <c r="I6" s="106"/>
      <c r="J6" s="106"/>
      <c r="K6" s="106"/>
      <c r="S6" s="105" t="s">
        <v>99</v>
      </c>
      <c r="T6" s="106"/>
      <c r="U6" s="106"/>
      <c r="V6" s="106"/>
      <c r="W6" s="106"/>
      <c r="X6" s="106"/>
      <c r="Y6" s="106"/>
      <c r="Z6" s="106"/>
    </row>
    <row r="7" spans="2:38" ht="11.25" customHeight="1">
      <c r="B7" s="379" t="s">
        <v>100</v>
      </c>
      <c r="C7" s="379"/>
      <c r="D7" s="379"/>
      <c r="E7" s="379"/>
      <c r="F7"/>
      <c r="S7" s="41" t="s">
        <v>100</v>
      </c>
      <c r="X7" s="107" t="s">
        <v>101</v>
      </c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</row>
    <row r="8" spans="2:38" ht="11.25" customHeight="1">
      <c r="B8" s="379" t="s">
        <v>102</v>
      </c>
      <c r="C8" s="379"/>
      <c r="D8" s="379"/>
      <c r="E8" s="379"/>
      <c r="F8" s="381"/>
      <c r="G8" s="381"/>
      <c r="H8" s="381"/>
      <c r="I8" s="381"/>
      <c r="J8" s="381"/>
      <c r="S8" s="41" t="s">
        <v>103</v>
      </c>
      <c r="V8" s="107"/>
      <c r="W8" s="107"/>
      <c r="X8" s="107" t="s">
        <v>101</v>
      </c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2:38" ht="11.25" customHeight="1">
      <c r="B9" s="379" t="s">
        <v>104</v>
      </c>
      <c r="C9" s="379"/>
      <c r="D9" s="379"/>
      <c r="E9" s="379"/>
      <c r="S9"/>
      <c r="X9" s="107" t="s">
        <v>101</v>
      </c>
      <c r="Y9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9"/>
      <c r="AL9" s="109"/>
    </row>
    <row r="10" spans="2:38" ht="11.25" customHeight="1">
      <c r="B10" s="379" t="s">
        <v>105</v>
      </c>
      <c r="C10" s="379"/>
      <c r="D10" s="379"/>
      <c r="E10" s="379"/>
      <c r="S10" s="41" t="s">
        <v>106</v>
      </c>
      <c r="X10" s="107" t="s">
        <v>101</v>
      </c>
      <c r="Y10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9"/>
      <c r="AL10" s="109"/>
    </row>
    <row r="11" spans="2:39" ht="21.75" customHeight="1">
      <c r="B11" s="382" t="s">
        <v>103</v>
      </c>
      <c r="C11" s="382"/>
      <c r="D11" s="382"/>
      <c r="E11" s="382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110" t="s">
        <v>107</v>
      </c>
      <c r="T11" s="110"/>
      <c r="U11" s="110"/>
      <c r="V11" s="110"/>
      <c r="W11" s="110"/>
      <c r="X11" s="111" t="s">
        <v>101</v>
      </c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112"/>
      <c r="AL11" s="112"/>
      <c r="AM11" s="110"/>
    </row>
    <row r="12" ht="12.75" customHeight="1">
      <c r="B12" s="41" t="s">
        <v>108</v>
      </c>
    </row>
    <row r="13" ht="6" customHeight="1"/>
    <row r="14" ht="12.75" customHeight="1">
      <c r="B14" s="104" t="s">
        <v>109</v>
      </c>
    </row>
    <row r="15" ht="5.25" customHeight="1"/>
    <row r="16" spans="2:40" s="105" customFormat="1" ht="12.75" customHeight="1">
      <c r="B16" s="385" t="s">
        <v>110</v>
      </c>
      <c r="C16" s="385"/>
      <c r="D16" s="385"/>
      <c r="E16" s="385"/>
      <c r="F16" s="385"/>
      <c r="G16" s="385" t="s">
        <v>111</v>
      </c>
      <c r="H16" s="385"/>
      <c r="I16" s="385"/>
      <c r="J16" s="385"/>
      <c r="K16" s="385" t="s">
        <v>112</v>
      </c>
      <c r="L16" s="385"/>
      <c r="M16" s="385"/>
      <c r="N16" s="385"/>
      <c r="O16" s="385"/>
      <c r="P16" s="385"/>
      <c r="Q16" s="385"/>
      <c r="R16" s="385" t="s">
        <v>113</v>
      </c>
      <c r="S16" s="385"/>
      <c r="T16" s="385"/>
      <c r="U16" s="385"/>
      <c r="V16" s="385"/>
      <c r="W16" s="385"/>
      <c r="X16" s="385"/>
      <c r="Y16" s="385"/>
      <c r="Z16" s="385"/>
      <c r="AA16" s="385" t="s">
        <v>114</v>
      </c>
      <c r="AB16" s="385"/>
      <c r="AC16" s="385"/>
      <c r="AD16" s="385"/>
      <c r="AE16" s="385"/>
      <c r="AF16" s="385" t="s">
        <v>115</v>
      </c>
      <c r="AG16" s="385"/>
      <c r="AH16" s="385"/>
      <c r="AI16" s="385"/>
      <c r="AJ16" s="385" t="s">
        <v>116</v>
      </c>
      <c r="AK16" s="385"/>
      <c r="AL16" s="385"/>
      <c r="AM16" s="385"/>
      <c r="AN16" s="385"/>
    </row>
    <row r="17" spans="1:40" s="105" customFormat="1" ht="24" customHeight="1">
      <c r="A17" s="113"/>
      <c r="B17" s="386"/>
      <c r="C17" s="386"/>
      <c r="D17" s="386"/>
      <c r="E17" s="386"/>
      <c r="F17" s="386"/>
      <c r="G17" s="386"/>
      <c r="H17" s="386"/>
      <c r="I17" s="386"/>
      <c r="J17" s="386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8"/>
      <c r="AB17" s="388"/>
      <c r="AC17" s="388"/>
      <c r="AD17" s="388"/>
      <c r="AE17" s="388"/>
      <c r="AF17" s="387"/>
      <c r="AG17" s="387"/>
      <c r="AH17" s="387"/>
      <c r="AI17" s="387"/>
      <c r="AJ17" s="388"/>
      <c r="AK17" s="388"/>
      <c r="AL17" s="388"/>
      <c r="AM17" s="388"/>
      <c r="AN17" s="388"/>
    </row>
    <row r="18" ht="5.25" customHeight="1"/>
    <row r="19" ht="11.25" customHeight="1">
      <c r="B19" s="41" t="s">
        <v>117</v>
      </c>
    </row>
    <row r="20" ht="11.25" customHeight="1">
      <c r="B20" s="41" t="s">
        <v>118</v>
      </c>
    </row>
    <row r="21" ht="6" customHeight="1"/>
    <row r="22" ht="12.75" customHeight="1">
      <c r="B22" s="104" t="s">
        <v>119</v>
      </c>
    </row>
    <row r="23" ht="4.5" customHeight="1"/>
    <row r="24" spans="2:38" s="105" customFormat="1" ht="12.75" customHeight="1">
      <c r="B24" s="389" t="s">
        <v>120</v>
      </c>
      <c r="C24" s="389"/>
      <c r="D24" s="389"/>
      <c r="E24" s="389"/>
      <c r="F24" s="389"/>
      <c r="G24" s="389" t="s">
        <v>121</v>
      </c>
      <c r="H24" s="389"/>
      <c r="I24" s="389"/>
      <c r="J24" s="389"/>
      <c r="K24" s="389"/>
      <c r="L24" s="389"/>
      <c r="M24" s="389" t="s">
        <v>122</v>
      </c>
      <c r="N24" s="389"/>
      <c r="O24" s="389"/>
      <c r="P24" s="389"/>
      <c r="Q24" s="389" t="s">
        <v>123</v>
      </c>
      <c r="R24" s="389"/>
      <c r="S24" s="389"/>
      <c r="T24" s="389"/>
      <c r="U24" s="389" t="s">
        <v>124</v>
      </c>
      <c r="V24" s="389"/>
      <c r="W24" s="389"/>
      <c r="X24" s="389"/>
      <c r="Y24" s="389"/>
      <c r="Z24" s="389"/>
      <c r="AA24" s="389"/>
      <c r="AB24" s="389" t="s">
        <v>125</v>
      </c>
      <c r="AC24" s="389"/>
      <c r="AD24" s="389"/>
      <c r="AE24" s="389"/>
      <c r="AF24" s="389"/>
      <c r="AG24" s="389" t="s">
        <v>126</v>
      </c>
      <c r="AH24" s="389"/>
      <c r="AI24" s="389"/>
      <c r="AJ24" s="389"/>
      <c r="AK24" s="389"/>
      <c r="AL24" s="389"/>
    </row>
    <row r="25" spans="2:38" s="105" customFormat="1" ht="14.25" customHeight="1"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89"/>
    </row>
    <row r="26" spans="2:38" s="105" customFormat="1" ht="39" customHeight="1">
      <c r="B26" s="387"/>
      <c r="C26" s="387"/>
      <c r="D26" s="387"/>
      <c r="E26" s="387"/>
      <c r="F26" s="387"/>
      <c r="G26" s="387">
        <v>1</v>
      </c>
      <c r="H26" s="387"/>
      <c r="I26" s="387"/>
      <c r="J26" s="387"/>
      <c r="K26" s="387"/>
      <c r="L26" s="387"/>
      <c r="M26" s="387">
        <v>1</v>
      </c>
      <c r="N26" s="387"/>
      <c r="O26" s="387"/>
      <c r="P26" s="387"/>
      <c r="Q26" s="389">
        <v>360</v>
      </c>
      <c r="R26" s="389"/>
      <c r="S26" s="389"/>
      <c r="T26" s="389"/>
      <c r="U26" s="389" t="str">
        <f>IF('ASGARİ ÜCRET FORMU'!F22&lt;2.1,"Isı Yalıtım           Sıhhi Tesisat","Isı Yalıtım          Sıhhi Tesisatı       Kalorifer Tesısatı")</f>
        <v>Isı Yalıtım           Sıhhi Tesisat</v>
      </c>
      <c r="V26" s="389"/>
      <c r="W26" s="389"/>
      <c r="X26" s="389"/>
      <c r="Y26" s="389"/>
      <c r="Z26" s="389"/>
      <c r="AA26" s="389"/>
      <c r="AB26" s="390"/>
      <c r="AC26" s="390"/>
      <c r="AD26" s="390"/>
      <c r="AE26" s="390"/>
      <c r="AF26" s="390"/>
      <c r="AG26" s="391">
        <f>'İNŞAAT SÜRESİ'!G25</f>
        <v>9</v>
      </c>
      <c r="AH26" s="391"/>
      <c r="AI26" s="391"/>
      <c r="AJ26" s="391"/>
      <c r="AK26" s="391"/>
      <c r="AL26" s="391"/>
    </row>
    <row r="27" ht="6" customHeight="1"/>
    <row r="28" s="104" customFormat="1" ht="12.75" customHeight="1">
      <c r="B28" s="104" t="s">
        <v>127</v>
      </c>
    </row>
    <row r="29" spans="2:30" ht="11.25" customHeight="1">
      <c r="B29" s="41" t="s">
        <v>128</v>
      </c>
      <c r="X29" s="392">
        <f>'ASGARİ ÜCRET FORMU'!F46</f>
        <v>1868.53</v>
      </c>
      <c r="Y29" s="392"/>
      <c r="Z29" s="392"/>
      <c r="AA29" s="392"/>
      <c r="AB29" s="392"/>
      <c r="AC29" s="392"/>
      <c r="AD29" s="41" t="s">
        <v>129</v>
      </c>
    </row>
    <row r="30" spans="2:35" ht="11.25" customHeight="1">
      <c r="B30" s="41" t="s">
        <v>130</v>
      </c>
      <c r="D30" s="393"/>
      <c r="E30" s="393"/>
      <c r="F30" s="393"/>
      <c r="G30" s="393"/>
      <c r="H30" s="393"/>
      <c r="I30" s="393"/>
      <c r="J30" s="393"/>
      <c r="K30" s="41" t="s">
        <v>131</v>
      </c>
      <c r="Y30" s="393"/>
      <c r="Z30" s="393"/>
      <c r="AA30" s="393"/>
      <c r="AB30" s="393"/>
      <c r="AC30" s="393"/>
      <c r="AD30" s="393"/>
      <c r="AE30" s="41" t="s">
        <v>132</v>
      </c>
      <c r="AG30" s="394"/>
      <c r="AH30" s="394"/>
      <c r="AI30" s="41" t="s">
        <v>133</v>
      </c>
    </row>
    <row r="31" ht="11.25" customHeight="1">
      <c r="B31" s="41" t="s">
        <v>134</v>
      </c>
    </row>
    <row r="32" s="105" customFormat="1" ht="6" customHeight="1"/>
    <row r="33" s="104" customFormat="1" ht="12.75" customHeight="1">
      <c r="B33" s="104" t="s">
        <v>135</v>
      </c>
    </row>
    <row r="34" ht="11.25" customHeight="1">
      <c r="B34" s="41" t="s">
        <v>136</v>
      </c>
    </row>
    <row r="35" ht="5.25" customHeight="1"/>
    <row r="36" s="104" customFormat="1" ht="11.25" customHeight="1">
      <c r="B36" s="104" t="s">
        <v>137</v>
      </c>
    </row>
    <row r="37" ht="11.25" customHeight="1">
      <c r="B37" s="41" t="s">
        <v>138</v>
      </c>
    </row>
    <row r="38" ht="11.25" customHeight="1">
      <c r="B38" s="41" t="s">
        <v>139</v>
      </c>
    </row>
    <row r="39" ht="11.25" customHeight="1">
      <c r="B39" s="41" t="s">
        <v>140</v>
      </c>
    </row>
    <row r="40" ht="6" customHeight="1"/>
    <row r="41" s="104" customFormat="1" ht="12.75" customHeight="1">
      <c r="B41" s="104" t="s">
        <v>141</v>
      </c>
    </row>
    <row r="42" ht="11.25" customHeight="1">
      <c r="B42" s="41" t="s">
        <v>142</v>
      </c>
    </row>
    <row r="43" ht="11.25" customHeight="1">
      <c r="B43" s="41" t="s">
        <v>143</v>
      </c>
    </row>
    <row r="44" ht="11.25" customHeight="1">
      <c r="B44" s="41" t="s">
        <v>144</v>
      </c>
    </row>
    <row r="45" ht="11.25" customHeight="1">
      <c r="B45" s="41" t="s">
        <v>145</v>
      </c>
    </row>
    <row r="46" ht="11.25" customHeight="1">
      <c r="B46" s="41" t="s">
        <v>146</v>
      </c>
    </row>
    <row r="47" ht="6" customHeight="1"/>
    <row r="48" ht="12.75" customHeight="1">
      <c r="B48" s="104" t="s">
        <v>147</v>
      </c>
    </row>
    <row r="49" ht="11.25" customHeight="1">
      <c r="B49" s="41" t="s">
        <v>148</v>
      </c>
    </row>
    <row r="50" ht="11.25" customHeight="1">
      <c r="B50" s="41" t="s">
        <v>149</v>
      </c>
    </row>
    <row r="51" s="104" customFormat="1" ht="12.75" customHeight="1">
      <c r="B51" s="104" t="s">
        <v>150</v>
      </c>
    </row>
    <row r="52" spans="3:4" ht="11.25" customHeight="1">
      <c r="C52" s="41" t="s">
        <v>151</v>
      </c>
      <c r="D52" s="41" t="s">
        <v>152</v>
      </c>
    </row>
    <row r="53" spans="3:4" ht="11.25" customHeight="1">
      <c r="C53" s="41" t="s">
        <v>153</v>
      </c>
      <c r="D53" s="41" t="s">
        <v>154</v>
      </c>
    </row>
    <row r="54" spans="3:4" ht="11.25" customHeight="1">
      <c r="C54" s="41" t="s">
        <v>155</v>
      </c>
      <c r="D54" s="41" t="s">
        <v>156</v>
      </c>
    </row>
    <row r="55" spans="3:4" ht="11.25" customHeight="1">
      <c r="C55" s="41" t="s">
        <v>157</v>
      </c>
      <c r="D55" s="41" t="s">
        <v>158</v>
      </c>
    </row>
    <row r="56" ht="11.25" customHeight="1">
      <c r="D56" s="41" t="s">
        <v>159</v>
      </c>
    </row>
    <row r="57" spans="3:4" ht="11.25" customHeight="1">
      <c r="C57" s="41" t="s">
        <v>160</v>
      </c>
      <c r="D57" s="41" t="s">
        <v>161</v>
      </c>
    </row>
    <row r="58" s="114" customFormat="1" ht="12" customHeight="1">
      <c r="B58" s="114" t="s">
        <v>162</v>
      </c>
    </row>
    <row r="59" ht="11.25" customHeight="1"/>
    <row r="60" ht="11.25" customHeight="1"/>
    <row r="61" ht="11.25" customHeight="1"/>
    <row r="62" spans="2:38" ht="11.25" customHeight="1">
      <c r="B62" s="41" t="s">
        <v>163</v>
      </c>
      <c r="G62" s="395">
        <f ca="1">NOW()-33</f>
        <v>39731.49242037037</v>
      </c>
      <c r="H62" s="395"/>
      <c r="I62" s="395"/>
      <c r="J62" s="395"/>
      <c r="K62" s="41" t="s">
        <v>164</v>
      </c>
      <c r="Q62" s="41">
        <f>F7</f>
        <v>0</v>
      </c>
      <c r="W62" s="41" t="s">
        <v>165</v>
      </c>
      <c r="AA62" s="115">
        <f>Y7</f>
        <v>0</v>
      </c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</row>
    <row r="63" ht="11.25" customHeight="1">
      <c r="B63" s="41" t="s">
        <v>166</v>
      </c>
    </row>
    <row r="64" ht="11.25" customHeight="1"/>
    <row r="65" spans="3:39" s="105" customFormat="1" ht="11.25" customHeight="1">
      <c r="C65" s="396" t="s">
        <v>167</v>
      </c>
      <c r="D65" s="396"/>
      <c r="E65" s="396"/>
      <c r="F65" s="396"/>
      <c r="G65" s="396"/>
      <c r="H65" s="396"/>
      <c r="I65" s="396"/>
      <c r="J65" s="396"/>
      <c r="N65" s="396"/>
      <c r="O65" s="396"/>
      <c r="P65" s="396"/>
      <c r="Q65" s="396"/>
      <c r="R65" s="396"/>
      <c r="S65" s="396"/>
      <c r="T65" s="396"/>
      <c r="X65" s="396" t="s">
        <v>168</v>
      </c>
      <c r="Y65" s="396"/>
      <c r="Z65" s="396"/>
      <c r="AA65" s="396"/>
      <c r="AB65" s="396"/>
      <c r="AC65" s="396"/>
      <c r="AD65" s="396"/>
      <c r="AE65" s="396"/>
      <c r="AF65" s="396"/>
      <c r="AG65" s="396"/>
      <c r="AH65" s="396"/>
      <c r="AI65" s="396"/>
      <c r="AJ65" s="396"/>
      <c r="AK65" s="396"/>
      <c r="AL65" s="396"/>
      <c r="AM65" s="396"/>
    </row>
    <row r="66" spans="2:38" s="105" customFormat="1" ht="11.25" customHeight="1">
      <c r="B66" s="397">
        <f>Y7</f>
        <v>0</v>
      </c>
      <c r="C66" s="397"/>
      <c r="D66" s="397"/>
      <c r="E66" s="397"/>
      <c r="F66" s="397"/>
      <c r="G66" s="397"/>
      <c r="H66" s="397"/>
      <c r="I66" s="397"/>
      <c r="J66" s="397"/>
      <c r="K66" s="397"/>
      <c r="L66" s="116"/>
      <c r="N66" s="396" t="s">
        <v>169</v>
      </c>
      <c r="O66" s="396"/>
      <c r="P66" s="396"/>
      <c r="Q66" s="396"/>
      <c r="R66" s="396"/>
      <c r="S66" s="396"/>
      <c r="T66" s="396"/>
      <c r="X66" s="396" t="s">
        <v>170</v>
      </c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96"/>
      <c r="AL66" s="396"/>
    </row>
    <row r="67" spans="14:38" s="105" customFormat="1" ht="9.75" customHeight="1">
      <c r="N67" s="41"/>
      <c r="O67" s="41"/>
      <c r="P67" s="41"/>
      <c r="Q67" s="41"/>
      <c r="R67" s="41"/>
      <c r="S67" s="41"/>
      <c r="T67" s="41"/>
      <c r="X67" s="396" t="s">
        <v>171</v>
      </c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</row>
    <row r="69" spans="22:25" ht="9.75" customHeight="1">
      <c r="V69" s="394"/>
      <c r="W69" s="394"/>
      <c r="X69" s="394"/>
      <c r="Y69" s="394"/>
    </row>
    <row r="70" spans="23:32" ht="19.5" customHeight="1">
      <c r="W70" s="117"/>
      <c r="X70"/>
      <c r="AD70" s="394"/>
      <c r="AE70" s="394"/>
      <c r="AF70" s="394"/>
    </row>
    <row r="72" spans="27:31" ht="9.75" customHeight="1">
      <c r="AA72" s="394"/>
      <c r="AB72" s="394"/>
      <c r="AC72" s="394"/>
      <c r="AD72" s="394"/>
      <c r="AE72" s="394"/>
    </row>
  </sheetData>
  <mergeCells count="55">
    <mergeCell ref="X67:AL67"/>
    <mergeCell ref="V69:Y69"/>
    <mergeCell ref="AD70:AF70"/>
    <mergeCell ref="AA72:AE72"/>
    <mergeCell ref="C65:J65"/>
    <mergeCell ref="N65:T65"/>
    <mergeCell ref="X65:AM65"/>
    <mergeCell ref="B66:K66"/>
    <mergeCell ref="N66:T66"/>
    <mergeCell ref="X66:AL66"/>
    <mergeCell ref="D30:J30"/>
    <mergeCell ref="Y30:AD30"/>
    <mergeCell ref="AG30:AH30"/>
    <mergeCell ref="G62:J62"/>
    <mergeCell ref="U26:AA26"/>
    <mergeCell ref="AB26:AF26"/>
    <mergeCell ref="AG26:AL26"/>
    <mergeCell ref="X29:AC29"/>
    <mergeCell ref="B26:F26"/>
    <mergeCell ref="G26:L26"/>
    <mergeCell ref="M26:P26"/>
    <mergeCell ref="Q26:T26"/>
    <mergeCell ref="AA17:AE17"/>
    <mergeCell ref="AF17:AI17"/>
    <mergeCell ref="AJ17:AN17"/>
    <mergeCell ref="B24:F25"/>
    <mergeCell ref="G24:L25"/>
    <mergeCell ref="M24:P25"/>
    <mergeCell ref="Q24:T25"/>
    <mergeCell ref="U24:AA25"/>
    <mergeCell ref="AB24:AF25"/>
    <mergeCell ref="AG24:AL25"/>
    <mergeCell ref="B17:F17"/>
    <mergeCell ref="G17:J17"/>
    <mergeCell ref="K17:Q17"/>
    <mergeCell ref="R17:Z17"/>
    <mergeCell ref="B11:E11"/>
    <mergeCell ref="F11:R11"/>
    <mergeCell ref="Y11:AJ11"/>
    <mergeCell ref="B16:F16"/>
    <mergeCell ref="G16:J16"/>
    <mergeCell ref="K16:Q16"/>
    <mergeCell ref="R16:Z16"/>
    <mergeCell ref="AA16:AE16"/>
    <mergeCell ref="AF16:AI16"/>
    <mergeCell ref="AJ16:AN16"/>
    <mergeCell ref="B8:E8"/>
    <mergeCell ref="F8:J8"/>
    <mergeCell ref="B9:E9"/>
    <mergeCell ref="B10:E10"/>
    <mergeCell ref="B1:AF1"/>
    <mergeCell ref="AG1:AM1"/>
    <mergeCell ref="B2:AF2"/>
    <mergeCell ref="B7:E7"/>
    <mergeCell ref="Y7:AL7"/>
  </mergeCells>
  <printOptions/>
  <pageMargins left="0.8659722222222223" right="0.20972222222222223" top="0.5118055555555556" bottom="0.5298611111111111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Zeros="0" tabSelected="1" workbookViewId="0" topLeftCell="A10">
      <selection activeCell="H19" sqref="H19"/>
    </sheetView>
  </sheetViews>
  <sheetFormatPr defaultColWidth="9.140625" defaultRowHeight="12.75"/>
  <cols>
    <col min="1" max="1" width="0.9921875" style="0" customWidth="1"/>
    <col min="2" max="2" width="11.28125" style="0" customWidth="1"/>
    <col min="3" max="3" width="15.8515625" style="0" customWidth="1"/>
    <col min="4" max="4" width="12.421875" style="0" customWidth="1"/>
    <col min="5" max="5" width="14.140625" style="0" customWidth="1"/>
    <col min="6" max="6" width="6.8515625" style="0" customWidth="1"/>
    <col min="7" max="7" width="9.7109375" style="0" customWidth="1"/>
    <col min="8" max="8" width="1.1484375" style="0" customWidth="1"/>
    <col min="9" max="9" width="14.140625" style="0" customWidth="1"/>
    <col min="10" max="10" width="7.00390625" style="0" customWidth="1"/>
    <col min="11" max="11" width="9.57421875" style="0" customWidth="1"/>
    <col min="12" max="12" width="14.7109375" style="0" customWidth="1"/>
    <col min="13" max="16384" width="9.00390625" style="0" customWidth="1"/>
  </cols>
  <sheetData>
    <row r="1" spans="2:12" ht="44.25" customHeight="1">
      <c r="B1" s="398" t="s">
        <v>172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2:12" ht="31.5" customHeight="1">
      <c r="B2" s="398" t="s">
        <v>173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ht="12.75" customHeight="1">
      <c r="B3" s="118"/>
    </row>
    <row r="4" ht="15">
      <c r="B4" s="119" t="s">
        <v>174</v>
      </c>
    </row>
    <row r="5" ht="12.75" customHeight="1">
      <c r="B5" s="120"/>
    </row>
    <row r="6" spans="2:12" s="49" customFormat="1" ht="12.75" customHeight="1">
      <c r="B6" s="399" t="s">
        <v>175</v>
      </c>
      <c r="C6" s="399"/>
      <c r="D6" s="122">
        <f>SÖZLEŞME!F7</f>
        <v>0</v>
      </c>
      <c r="E6" s="122"/>
      <c r="F6" s="123"/>
      <c r="G6" s="124"/>
      <c r="H6" s="124"/>
      <c r="I6" s="121" t="s">
        <v>176</v>
      </c>
      <c r="J6" s="122">
        <f>SÖZLEŞME!Y7</f>
        <v>0</v>
      </c>
      <c r="K6" s="125"/>
      <c r="L6" s="126"/>
    </row>
    <row r="7" spans="2:10" s="49" customFormat="1" ht="12.75" customHeight="1">
      <c r="B7" s="399" t="s">
        <v>177</v>
      </c>
      <c r="C7" s="399"/>
      <c r="D7" s="127"/>
      <c r="E7" s="123"/>
      <c r="F7" s="123"/>
      <c r="G7" s="128"/>
      <c r="H7" s="128"/>
      <c r="I7" s="121" t="s">
        <v>178</v>
      </c>
      <c r="J7" s="129">
        <f>SÖZLEŞME!$AA$17</f>
        <v>0</v>
      </c>
    </row>
    <row r="8" spans="2:10" s="49" customFormat="1" ht="12.75" customHeight="1">
      <c r="B8" s="399" t="s">
        <v>179</v>
      </c>
      <c r="C8" s="399"/>
      <c r="D8" s="130"/>
      <c r="E8" s="123"/>
      <c r="F8" s="124"/>
      <c r="G8" s="124"/>
      <c r="H8" s="124"/>
      <c r="I8" s="121" t="s">
        <v>180</v>
      </c>
      <c r="J8" s="130">
        <f>SÖZLEŞME!$AF$17</f>
        <v>0</v>
      </c>
    </row>
    <row r="9" spans="2:10" s="49" customFormat="1" ht="12.75" customHeight="1">
      <c r="B9" s="399" t="s">
        <v>181</v>
      </c>
      <c r="C9" s="399"/>
      <c r="D9" s="122">
        <f>SÖZLEŞME!F11</f>
        <v>0</v>
      </c>
      <c r="E9" s="122"/>
      <c r="F9" s="122"/>
      <c r="G9" s="123"/>
      <c r="H9" s="123"/>
      <c r="I9" s="121" t="s">
        <v>182</v>
      </c>
      <c r="J9" s="131">
        <f>SÖZLEŞME!$AJ$17</f>
        <v>0</v>
      </c>
    </row>
    <row r="10" spans="2:12" s="49" customFormat="1" ht="12.75" customHeight="1">
      <c r="B10" s="399" t="s">
        <v>183</v>
      </c>
      <c r="C10" s="399"/>
      <c r="D10" s="127"/>
      <c r="E10" s="127"/>
      <c r="F10" s="127"/>
      <c r="G10" s="123"/>
      <c r="H10" s="123"/>
      <c r="I10" s="121" t="s">
        <v>184</v>
      </c>
      <c r="J10" s="125"/>
      <c r="K10" s="125"/>
      <c r="L10" s="126"/>
    </row>
    <row r="11" s="132" customFormat="1" ht="12.75" customHeight="1"/>
    <row r="12" ht="12.75">
      <c r="B12" s="104" t="s">
        <v>185</v>
      </c>
    </row>
    <row r="13" spans="6:10" ht="12.75" customHeight="1">
      <c r="F13" s="11"/>
      <c r="G13" s="11"/>
      <c r="H13" s="11"/>
      <c r="I13" s="11"/>
      <c r="J13" s="11"/>
    </row>
    <row r="14" spans="2:12" ht="12.75" customHeight="1">
      <c r="B14" s="133" t="s">
        <v>186</v>
      </c>
      <c r="C14" s="133"/>
      <c r="D14" s="133"/>
      <c r="E14" s="133"/>
      <c r="F14" s="133"/>
      <c r="G14" s="133"/>
      <c r="H14" s="133"/>
      <c r="I14" s="133"/>
      <c r="J14" s="133"/>
      <c r="K14" s="134" t="s">
        <v>187</v>
      </c>
      <c r="L14" s="11"/>
    </row>
    <row r="15" spans="2:12" ht="12.75" customHeight="1">
      <c r="B15" s="135" t="s">
        <v>188</v>
      </c>
      <c r="C15" s="11"/>
      <c r="D15" s="11"/>
      <c r="E15" s="11"/>
      <c r="F15" s="11"/>
      <c r="G15" s="11"/>
      <c r="H15" s="11"/>
      <c r="I15" s="11"/>
      <c r="J15" s="11"/>
      <c r="K15" s="7" t="s">
        <v>189</v>
      </c>
      <c r="L15" s="11"/>
    </row>
    <row r="16" spans="2:12" ht="12.75" customHeight="1">
      <c r="B16" s="105" t="s">
        <v>190</v>
      </c>
      <c r="F16" s="11"/>
      <c r="G16" s="11"/>
      <c r="H16" s="11"/>
      <c r="I16" s="11"/>
      <c r="J16" s="11"/>
      <c r="K16" s="11"/>
      <c r="L16" s="11"/>
    </row>
    <row r="17" spans="6:10" ht="12.75" customHeight="1">
      <c r="F17" s="11"/>
      <c r="G17" s="11"/>
      <c r="H17" s="11"/>
      <c r="I17" s="11"/>
      <c r="J17" s="11"/>
    </row>
    <row r="18" spans="2:9" s="49" customFormat="1" ht="12.75" customHeight="1">
      <c r="B18" s="126"/>
      <c r="C18" s="136"/>
      <c r="D18" s="137"/>
      <c r="E18" s="137" t="s">
        <v>191</v>
      </c>
      <c r="F18" s="138">
        <v>1</v>
      </c>
      <c r="G18" s="136"/>
      <c r="H18" s="136"/>
      <c r="I18" s="136"/>
    </row>
    <row r="19" spans="2:9" s="49" customFormat="1" ht="12.75" customHeight="1">
      <c r="B19" s="399" t="s">
        <v>192</v>
      </c>
      <c r="C19" s="399"/>
      <c r="D19" s="399"/>
      <c r="E19" s="399"/>
      <c r="F19" s="139">
        <v>360</v>
      </c>
      <c r="G19" s="126" t="s">
        <v>72</v>
      </c>
      <c r="H19" s="126"/>
      <c r="I19" s="136"/>
    </row>
    <row r="20" spans="2:9" s="49" customFormat="1" ht="12.75" customHeight="1" hidden="1">
      <c r="B20" s="140"/>
      <c r="C20" s="399" t="s">
        <v>71</v>
      </c>
      <c r="D20" s="399"/>
      <c r="E20" s="399"/>
      <c r="F20" s="139">
        <f>IF(F19&lt;'A_Ü_2007 2_dönem'!P131,'A_Ü_2007 2_dönem'!P131,F19)</f>
        <v>360</v>
      </c>
      <c r="G20" s="126" t="s">
        <v>72</v>
      </c>
      <c r="H20" s="126"/>
      <c r="I20" s="126"/>
    </row>
    <row r="21" spans="2:9" s="49" customFormat="1" ht="12.75" customHeight="1">
      <c r="B21" s="399" t="s">
        <v>193</v>
      </c>
      <c r="C21" s="399"/>
      <c r="D21" s="399"/>
      <c r="E21" s="399"/>
      <c r="F21" s="141">
        <f>F19*F18</f>
        <v>360</v>
      </c>
      <c r="G21" s="126" t="s">
        <v>72</v>
      </c>
      <c r="H21" s="126"/>
      <c r="I21" s="126"/>
    </row>
    <row r="22" spans="2:9" s="49" customFormat="1" ht="12.75" customHeight="1">
      <c r="B22" s="142"/>
      <c r="C22" s="142"/>
      <c r="D22" s="399" t="s">
        <v>194</v>
      </c>
      <c r="E22" s="399"/>
      <c r="F22" s="143">
        <v>2</v>
      </c>
      <c r="G22" s="126"/>
      <c r="H22" s="126"/>
      <c r="I22" s="126"/>
    </row>
    <row r="23" spans="2:10" ht="12.75" customHeight="1" hidden="1">
      <c r="B23" s="144"/>
      <c r="C23" s="144"/>
      <c r="D23" s="144"/>
      <c r="E23" s="145"/>
      <c r="F23" s="145"/>
      <c r="G23" s="145"/>
      <c r="H23" s="145"/>
      <c r="I23" s="117"/>
      <c r="J23" s="117"/>
    </row>
    <row r="24" spans="2:9" ht="12.75" customHeight="1" hidden="1">
      <c r="B24" s="144"/>
      <c r="C24" s="144"/>
      <c r="D24" s="144"/>
      <c r="E24" s="146" t="s">
        <v>195</v>
      </c>
      <c r="I24" s="146" t="s">
        <v>196</v>
      </c>
    </row>
    <row r="25" spans="2:10" s="147" customFormat="1" ht="12.75" hidden="1">
      <c r="B25" s="148">
        <f>LOOKUP($F$20,'A_Ü_2007 2_dönem'!$A$3:$A$125)</f>
        <v>350</v>
      </c>
      <c r="C25" s="149">
        <f>LOOKUP(F20,'A_Ü_2007 2_dönem'!$A$4:$A$125,'A_Ü_2007 2_dönem'!$G$4:$G$125)</f>
        <v>8</v>
      </c>
      <c r="D25" s="150">
        <f>HLOOKUP($F$22,'A_Ü_2007 2_dönem'!$H$1:$S$2,2,FALSE)</f>
        <v>230</v>
      </c>
      <c r="E25" s="151">
        <f>VLOOKUP($B$25,'A_Ü_2007 2_dönem'!$A$3:$F$125,LEFT(F22,1)+1)/100</f>
        <v>0.0475</v>
      </c>
      <c r="F25" s="152"/>
      <c r="G25" s="153"/>
      <c r="H25" s="153"/>
      <c r="I25" s="154">
        <f>E25*0.01</f>
        <v>0.000475</v>
      </c>
      <c r="J25" s="155"/>
    </row>
    <row r="26" spans="2:11" s="147" customFormat="1" ht="12.75" hidden="1">
      <c r="B26" s="148">
        <f>LOOKUP($C$26,'A_Ü_2007 2_dönem'!$G$4:$G$125,'A_Ü_2007 2_dönem'!$A$4:$A$125)</f>
        <v>400</v>
      </c>
      <c r="C26" s="149">
        <f>C25+1</f>
        <v>9</v>
      </c>
      <c r="D26" s="150">
        <f>HLOOKUP(F$22,'A_Ü_2007 2_dönem'!$H$1:$S$2,2,FALSE)</f>
        <v>230</v>
      </c>
      <c r="E26" s="151">
        <f>VLOOKUP($B$26,'A_Ü_2007 2_dönem'!$A$3:$F$125,LEFT(F22,1)+1)/100</f>
        <v>0.0466</v>
      </c>
      <c r="I26" s="156">
        <f>E26*0.01</f>
        <v>0.00046600000000000005</v>
      </c>
      <c r="J26" s="157"/>
      <c r="K26"/>
    </row>
    <row r="27" spans="2:11" s="147" customFormat="1" ht="12.75" customHeight="1" hidden="1">
      <c r="B27" s="146" t="s">
        <v>197</v>
      </c>
      <c r="C27" s="158" t="s">
        <v>198</v>
      </c>
      <c r="D27" s="146" t="s">
        <v>199</v>
      </c>
      <c r="E27" s="158" t="s">
        <v>200</v>
      </c>
      <c r="F27" s="146" t="s">
        <v>201</v>
      </c>
      <c r="G27" s="146" t="s">
        <v>202</v>
      </c>
      <c r="H27" s="400" t="s">
        <v>203</v>
      </c>
      <c r="I27" s="400"/>
      <c r="J27" s="400" t="s">
        <v>204</v>
      </c>
      <c r="K27" s="400"/>
    </row>
    <row r="28" spans="2:12" s="147" customFormat="1" ht="12.75" customHeight="1" hidden="1">
      <c r="B28" s="148">
        <f>$F$20</f>
        <v>360</v>
      </c>
      <c r="C28" s="159">
        <f>HLOOKUP($F$22,'A_Ü_2007 2_dönem'!$H$1:$S$2,2,FALSE)</f>
        <v>230</v>
      </c>
      <c r="D28" s="151">
        <f>$E$25-($F$20-$B$25)*($E$25-$E$26)/($B$26-$B$25)</f>
        <v>0.04732</v>
      </c>
      <c r="E28" s="160">
        <v>0.5</v>
      </c>
      <c r="F28" s="161">
        <v>0.5</v>
      </c>
      <c r="G28" s="161">
        <v>0.6</v>
      </c>
      <c r="H28" s="401">
        <v>1</v>
      </c>
      <c r="I28" s="401"/>
      <c r="J28" s="402">
        <f>ROUND(B28*C28*D28*E28*F28*G28*H28,0)</f>
        <v>588</v>
      </c>
      <c r="K28" s="402"/>
      <c r="L28" s="16"/>
    </row>
    <row r="29" spans="2:12" s="147" customFormat="1" ht="12.75" hidden="1">
      <c r="B29" s="162"/>
      <c r="C29" s="162"/>
      <c r="D29" s="162"/>
      <c r="E29" s="162"/>
      <c r="F29" s="163"/>
      <c r="G29" s="16"/>
      <c r="H29" s="16"/>
      <c r="I29" s="16"/>
      <c r="J29" s="16"/>
      <c r="K29" s="16"/>
      <c r="L29" s="16"/>
    </row>
    <row r="30" spans="2:7" s="147" customFormat="1" ht="12.75" hidden="1">
      <c r="B30" s="162"/>
      <c r="C30" s="162"/>
      <c r="D30" s="162"/>
      <c r="E30" s="162"/>
      <c r="F30" s="163"/>
      <c r="G30" s="16"/>
    </row>
    <row r="31" spans="2:12" s="147" customFormat="1" ht="12.75" customHeight="1">
      <c r="B31" s="164"/>
      <c r="C31" s="165"/>
      <c r="D31" s="403" t="s">
        <v>205</v>
      </c>
      <c r="E31" s="403"/>
      <c r="F31" s="166"/>
      <c r="G31" s="404" t="s">
        <v>206</v>
      </c>
      <c r="H31" s="404"/>
      <c r="I31" s="404"/>
      <c r="J31" s="167"/>
      <c r="K31" s="404" t="s">
        <v>207</v>
      </c>
      <c r="L31" s="404"/>
    </row>
    <row r="32" spans="2:12" s="168" customFormat="1" ht="12.75" customHeight="1">
      <c r="B32" s="169"/>
      <c r="C32" s="170"/>
      <c r="D32" s="171">
        <f>F18</f>
        <v>1</v>
      </c>
      <c r="E32" s="172" t="s">
        <v>208</v>
      </c>
      <c r="F32" s="173"/>
      <c r="G32" s="174">
        <f>F18</f>
        <v>1</v>
      </c>
      <c r="H32" s="405" t="s">
        <v>208</v>
      </c>
      <c r="I32" s="405"/>
      <c r="J32" s="175"/>
      <c r="K32" s="176">
        <f>F18</f>
        <v>1</v>
      </c>
      <c r="L32" s="172" t="s">
        <v>208</v>
      </c>
    </row>
    <row r="33" spans="1:12" s="168" customFormat="1" ht="34.5" customHeight="1">
      <c r="A33" s="177"/>
      <c r="B33" s="406" t="s">
        <v>209</v>
      </c>
      <c r="C33" s="406"/>
      <c r="D33" s="178" t="s">
        <v>210</v>
      </c>
      <c r="E33" s="179" t="s">
        <v>211</v>
      </c>
      <c r="F33" s="180"/>
      <c r="G33" s="179" t="s">
        <v>210</v>
      </c>
      <c r="H33" s="407" t="s">
        <v>206</v>
      </c>
      <c r="I33" s="407"/>
      <c r="J33" s="180"/>
      <c r="K33" s="179" t="s">
        <v>210</v>
      </c>
      <c r="L33" s="181" t="s">
        <v>212</v>
      </c>
    </row>
    <row r="34" spans="1:12" s="147" customFormat="1" ht="12.75" customHeight="1">
      <c r="A34" s="182"/>
      <c r="B34" s="408" t="s">
        <v>213</v>
      </c>
      <c r="C34" s="408"/>
      <c r="D34" s="183">
        <f>IF($D$32=0,0,100%)</f>
        <v>1</v>
      </c>
      <c r="E34" s="184">
        <f>IF($D$32=0,0,$J$28*D34)</f>
        <v>588</v>
      </c>
      <c r="F34" s="185"/>
      <c r="G34" s="183">
        <f>IF($G$32=0,0,100%)</f>
        <v>1</v>
      </c>
      <c r="H34" s="409">
        <f>IF($G$32=0,0,$J$28*G34)</f>
        <v>588</v>
      </c>
      <c r="I34" s="409"/>
      <c r="J34" s="186"/>
      <c r="K34" s="183">
        <f>IF($K$32=0,0,100%)</f>
        <v>1</v>
      </c>
      <c r="L34" s="184">
        <f>IF(K32=0,0,'A_Ü_2007 2_dönem'!P129)</f>
        <v>407.5</v>
      </c>
    </row>
    <row r="35" spans="1:12" s="147" customFormat="1" ht="12.75" customHeight="1">
      <c r="A35" s="182"/>
      <c r="B35" s="408" t="s">
        <v>214</v>
      </c>
      <c r="C35" s="408"/>
      <c r="D35" s="183">
        <f>IF($D$32&lt;2,0,50%)</f>
        <v>0</v>
      </c>
      <c r="E35" s="184">
        <f>IF($D$32&gt;=2,$E$34*D35,0)</f>
        <v>0</v>
      </c>
      <c r="F35" s="185"/>
      <c r="G35" s="183">
        <f>IF($G$32&lt;2,0,100%)</f>
        <v>0</v>
      </c>
      <c r="H35" s="409">
        <f>IF($G$32&gt;=2,$H$34*G35,0)</f>
        <v>0</v>
      </c>
      <c r="I35" s="409"/>
      <c r="J35" s="186"/>
      <c r="K35" s="183">
        <f>IF($K$32&lt;2,0,50%)</f>
        <v>0</v>
      </c>
      <c r="L35" s="184">
        <f>IF($K$32&gt;=2,$L$34*K35,0)</f>
        <v>0</v>
      </c>
    </row>
    <row r="36" spans="1:12" s="147" customFormat="1" ht="12.75" customHeight="1">
      <c r="A36" s="182"/>
      <c r="B36" s="408" t="s">
        <v>215</v>
      </c>
      <c r="C36" s="408"/>
      <c r="D36" s="183">
        <f>IF($D$32&lt;3,0,25%)</f>
        <v>0</v>
      </c>
      <c r="E36" s="184">
        <f>IF($D$32&gt;=3,$E$34*D36,0)</f>
        <v>0</v>
      </c>
      <c r="F36" s="185"/>
      <c r="G36" s="183">
        <f>IF($G$32&lt;3,0,100%)</f>
        <v>0</v>
      </c>
      <c r="H36" s="409">
        <f>IF($G$32&gt;=3,$H$34*G36,0)</f>
        <v>0</v>
      </c>
      <c r="I36" s="409"/>
      <c r="J36" s="186"/>
      <c r="K36" s="183">
        <f>IF($K$32&lt;3,0,25%)</f>
        <v>0</v>
      </c>
      <c r="L36" s="184">
        <f>IF($K$32&gt;=3,$L$34*K36,0)</f>
        <v>0</v>
      </c>
    </row>
    <row r="37" spans="1:12" s="147" customFormat="1" ht="12.75" customHeight="1">
      <c r="A37" s="182"/>
      <c r="B37" s="408" t="s">
        <v>216</v>
      </c>
      <c r="C37" s="408"/>
      <c r="D37" s="187">
        <f>IF($D$32&lt;4,0,15%)</f>
        <v>0</v>
      </c>
      <c r="E37" s="184">
        <f>IF($D$32&gt;=4,$E$34*D37*($D$32-3),0)</f>
        <v>0</v>
      </c>
      <c r="F37" s="188"/>
      <c r="G37" s="183">
        <f>IF($G$32&lt;4,0,100%)</f>
        <v>0</v>
      </c>
      <c r="H37" s="409">
        <f>IF($G$32&gt;=4,$H$34*G37*($G$32-3),0)</f>
        <v>0</v>
      </c>
      <c r="I37" s="409"/>
      <c r="J37" s="189"/>
      <c r="K37" s="185">
        <f>IF($K$32&lt;4,0,15%)</f>
        <v>0</v>
      </c>
      <c r="L37" s="184">
        <f>IF($K$32&gt;=4,$L$34*K37*($K$32-3),0)</f>
        <v>0</v>
      </c>
    </row>
    <row r="38" spans="2:12" s="147" customFormat="1" ht="12.75" customHeight="1">
      <c r="B38" s="16"/>
      <c r="C38" s="190"/>
      <c r="D38" s="191" t="str">
        <f>IF($D$32=0,0,D39)</f>
        <v>Toplam     =</v>
      </c>
      <c r="E38" s="192">
        <f>SUM(E34:E37)</f>
        <v>588</v>
      </c>
      <c r="F38" s="193"/>
      <c r="G38" s="191" t="str">
        <f>IF(G32=0,0,G39)</f>
        <v>Toplam   =</v>
      </c>
      <c r="H38" s="410">
        <f>SUM(H34:H37)</f>
        <v>588</v>
      </c>
      <c r="I38" s="410"/>
      <c r="J38" s="193"/>
      <c r="K38" s="191" t="str">
        <f>IF(K32=0,0,K39)</f>
        <v>Toplam   =</v>
      </c>
      <c r="L38" s="192">
        <f>SUM(L34:L37)</f>
        <v>407.5</v>
      </c>
    </row>
    <row r="39" spans="2:12" s="147" customFormat="1" ht="12.75" customHeight="1" hidden="1">
      <c r="B39" s="16"/>
      <c r="C39" s="194"/>
      <c r="D39" s="195" t="s">
        <v>217</v>
      </c>
      <c r="E39" s="192"/>
      <c r="F39" s="194"/>
      <c r="G39" s="195" t="s">
        <v>218</v>
      </c>
      <c r="H39" s="191"/>
      <c r="I39" s="192"/>
      <c r="J39" s="194"/>
      <c r="K39" s="195" t="s">
        <v>218</v>
      </c>
      <c r="L39" s="192"/>
    </row>
    <row r="40" spans="4:12" ht="12.75">
      <c r="D40" s="196"/>
      <c r="E40" s="196"/>
      <c r="F40" s="196"/>
      <c r="G40" s="196"/>
      <c r="H40" s="196"/>
      <c r="I40" s="196"/>
      <c r="J40" s="196"/>
      <c r="K40" s="11"/>
      <c r="L40" s="197"/>
    </row>
    <row r="41" spans="2:12" ht="12.75" customHeight="1">
      <c r="B41" s="411" t="s">
        <v>219</v>
      </c>
      <c r="C41" s="411"/>
      <c r="D41" s="411"/>
      <c r="E41" s="411"/>
      <c r="F41" s="412">
        <f>E38</f>
        <v>588</v>
      </c>
      <c r="G41" s="412"/>
      <c r="H41" s="198"/>
      <c r="I41" s="199"/>
      <c r="J41" s="200"/>
      <c r="K41" s="200"/>
      <c r="L41" s="147"/>
    </row>
    <row r="42" spans="2:12" ht="12.75" customHeight="1">
      <c r="B42" s="18"/>
      <c r="C42" s="18"/>
      <c r="D42" s="18"/>
      <c r="E42" s="201" t="s">
        <v>220</v>
      </c>
      <c r="F42" s="413">
        <f>H38</f>
        <v>588</v>
      </c>
      <c r="G42" s="413"/>
      <c r="H42" s="198"/>
      <c r="I42" s="199"/>
      <c r="J42" s="200"/>
      <c r="K42" s="200"/>
      <c r="L42" s="147"/>
    </row>
    <row r="43" spans="2:12" ht="12.75" customHeight="1">
      <c r="B43" s="411" t="s">
        <v>221</v>
      </c>
      <c r="C43" s="411"/>
      <c r="D43" s="411"/>
      <c r="E43" s="411"/>
      <c r="F43" s="414">
        <f>L38</f>
        <v>407.5</v>
      </c>
      <c r="G43" s="414"/>
      <c r="H43" s="202"/>
      <c r="I43" s="199"/>
      <c r="J43" s="200"/>
      <c r="K43" s="200"/>
      <c r="L43" s="147"/>
    </row>
    <row r="44" spans="2:12" ht="12.75" customHeight="1">
      <c r="B44" s="11"/>
      <c r="C44" s="11"/>
      <c r="D44" s="203"/>
      <c r="E44" s="203" t="s">
        <v>222</v>
      </c>
      <c r="F44" s="415">
        <f>SUM(F41:J43)</f>
        <v>1583.5</v>
      </c>
      <c r="G44" s="415"/>
      <c r="H44" s="198"/>
      <c r="I44" s="199"/>
      <c r="J44" s="200"/>
      <c r="K44" s="200"/>
      <c r="L44" s="147"/>
    </row>
    <row r="45" spans="2:11" s="147" customFormat="1" ht="12.75" customHeight="1">
      <c r="B45" s="16"/>
      <c r="C45" s="204"/>
      <c r="D45" s="204" t="s">
        <v>223</v>
      </c>
      <c r="E45" s="205">
        <v>0.18</v>
      </c>
      <c r="F45" s="413">
        <f>E45*F44</f>
        <v>285.03</v>
      </c>
      <c r="G45" s="413"/>
      <c r="H45" s="198"/>
      <c r="I45" s="199"/>
      <c r="J45" s="200"/>
      <c r="K45" s="200"/>
    </row>
    <row r="46" spans="2:10" s="147" customFormat="1" ht="12.75" customHeight="1">
      <c r="B46" s="16"/>
      <c r="C46" s="16"/>
      <c r="D46" s="16"/>
      <c r="E46" s="204" t="s">
        <v>224</v>
      </c>
      <c r="F46" s="416">
        <f>SUM(F44:J45)</f>
        <v>1868.53</v>
      </c>
      <c r="G46" s="416"/>
      <c r="H46" s="206"/>
      <c r="I46" s="200"/>
      <c r="J46" s="200"/>
    </row>
    <row r="48" spans="2:4" ht="12.75" customHeight="1">
      <c r="B48" s="207" t="s">
        <v>225</v>
      </c>
      <c r="C48" s="208"/>
      <c r="D48" s="208"/>
    </row>
    <row r="49" spans="2:4" ht="12.75" customHeight="1">
      <c r="B49" s="208"/>
      <c r="C49" s="208"/>
      <c r="D49" s="208"/>
    </row>
    <row r="50" spans="2:7" ht="12.75" customHeight="1">
      <c r="B50" s="209" t="s">
        <v>226</v>
      </c>
      <c r="C50" s="210"/>
      <c r="D50" s="211"/>
      <c r="E50" s="18"/>
      <c r="F50" s="18"/>
      <c r="G50" s="18"/>
    </row>
    <row r="51" spans="2:9" ht="12.75" customHeight="1">
      <c r="B51" s="209" t="s">
        <v>227</v>
      </c>
      <c r="C51" s="212"/>
      <c r="D51" s="211"/>
      <c r="E51" s="18"/>
      <c r="F51" s="18"/>
      <c r="G51" s="18"/>
      <c r="H51" s="11"/>
      <c r="I51" s="11"/>
    </row>
    <row r="52" spans="2:12" ht="12.75" customHeight="1">
      <c r="B52" s="209" t="s">
        <v>228</v>
      </c>
      <c r="C52" s="212"/>
      <c r="D52" s="211"/>
      <c r="E52" s="18"/>
      <c r="F52" s="18"/>
      <c r="G52" s="18"/>
      <c r="L52" s="11"/>
    </row>
    <row r="53" spans="2:12" ht="12.75" customHeight="1">
      <c r="B53" s="213"/>
      <c r="C53" s="213"/>
      <c r="D53" s="214"/>
      <c r="E53" s="214"/>
      <c r="F53" s="215"/>
      <c r="G53" s="215"/>
      <c r="H53" s="215"/>
      <c r="I53" s="216"/>
      <c r="J53" s="216"/>
      <c r="K53" s="216"/>
      <c r="L53" s="216"/>
    </row>
    <row r="54" spans="2:9" s="147" customFormat="1" ht="12.75" customHeight="1" hidden="1">
      <c r="B54" s="146" t="s">
        <v>197</v>
      </c>
      <c r="C54" s="217" t="s">
        <v>229</v>
      </c>
      <c r="D54" s="146" t="s">
        <v>199</v>
      </c>
      <c r="E54" s="146" t="s">
        <v>202</v>
      </c>
      <c r="F54" s="400" t="s">
        <v>203</v>
      </c>
      <c r="G54" s="400"/>
      <c r="H54" s="218"/>
      <c r="I54" s="146" t="s">
        <v>230</v>
      </c>
    </row>
    <row r="55" spans="2:10" s="147" customFormat="1" ht="12.75" hidden="1">
      <c r="B55" s="148">
        <f>IF(F19&lt;150,150,F19)</f>
        <v>360</v>
      </c>
      <c r="C55" s="160">
        <f>C28</f>
        <v>230</v>
      </c>
      <c r="D55" s="219">
        <f>$I$25-($F$20-$B$25)*($I$25-$I$26)/($B$26-$B$25)</f>
        <v>0.0004732</v>
      </c>
      <c r="E55" s="161">
        <f>G28</f>
        <v>0.6</v>
      </c>
      <c r="F55" s="401">
        <v>1</v>
      </c>
      <c r="G55" s="401"/>
      <c r="H55" s="220"/>
      <c r="I55" s="221">
        <f>(ROUND(B55*C55*D55*E55*F55,0))</f>
        <v>24</v>
      </c>
      <c r="J55" s="16"/>
    </row>
    <row r="56" spans="2:12" ht="12.75" customHeight="1" hidden="1">
      <c r="B56" s="222"/>
      <c r="C56" s="222"/>
      <c r="D56" s="223"/>
      <c r="E56" s="223"/>
      <c r="F56" s="18"/>
      <c r="G56" s="223"/>
      <c r="H56" s="223"/>
      <c r="I56" s="224"/>
      <c r="J56" s="11"/>
      <c r="K56" s="224"/>
      <c r="L56" s="224"/>
    </row>
    <row r="57" spans="2:12" ht="42.75" customHeight="1">
      <c r="B57" s="417" t="s">
        <v>209</v>
      </c>
      <c r="C57" s="417"/>
      <c r="D57" s="225" t="s">
        <v>210</v>
      </c>
      <c r="E57" s="226" t="s">
        <v>231</v>
      </c>
      <c r="F57" s="180"/>
      <c r="G57" s="227" t="s">
        <v>210</v>
      </c>
      <c r="H57" s="418" t="s">
        <v>232</v>
      </c>
      <c r="I57" s="418"/>
      <c r="J57" s="228"/>
      <c r="K57" s="227" t="s">
        <v>210</v>
      </c>
      <c r="L57" s="226" t="s">
        <v>233</v>
      </c>
    </row>
    <row r="58" spans="2:12" ht="12.75" customHeight="1">
      <c r="B58" s="419" t="s">
        <v>234</v>
      </c>
      <c r="C58" s="419"/>
      <c r="D58" s="183">
        <f>IF($D$32=0,0,100%)</f>
        <v>1</v>
      </c>
      <c r="E58" s="229">
        <f>IF($D$32=0,0,$I$55)</f>
        <v>24</v>
      </c>
      <c r="F58" s="230"/>
      <c r="G58" s="183">
        <f>IF($G$32=0,0,100%)</f>
        <v>1</v>
      </c>
      <c r="H58" s="420">
        <f>IF($G$32=0,0,$I$55)</f>
        <v>24</v>
      </c>
      <c r="I58" s="420"/>
      <c r="J58" s="230"/>
      <c r="K58" s="183">
        <f>IF($K$32=0,0,100%)</f>
        <v>1</v>
      </c>
      <c r="L58" s="231">
        <f>IF(K32=0,0,'V_Ü_2007 2_dönem '!$P$145)</f>
        <v>16</v>
      </c>
    </row>
    <row r="59" spans="1:12" ht="12.75" customHeight="1">
      <c r="A59" s="232"/>
      <c r="B59" s="421" t="s">
        <v>235</v>
      </c>
      <c r="C59" s="421"/>
      <c r="D59" s="183">
        <f>IF($D$32&lt;2,0,50%)</f>
        <v>0</v>
      </c>
      <c r="E59" s="184">
        <f>IF($D$32&gt;=2,$E$58*D59,0)</f>
        <v>0</v>
      </c>
      <c r="F59" s="230"/>
      <c r="G59" s="183">
        <f>IF($G$32&lt;2,0,100%)</f>
        <v>0</v>
      </c>
      <c r="H59" s="409">
        <f>IF($G$32&gt;=2,$H$58*G59,0)</f>
        <v>0</v>
      </c>
      <c r="I59" s="409"/>
      <c r="J59" s="230"/>
      <c r="K59" s="183">
        <f>IF($K$32&lt;2,0,50%)</f>
        <v>0</v>
      </c>
      <c r="L59" s="233">
        <f>IF($K$32&gt;=2,$L$58*K59,0)</f>
        <v>0</v>
      </c>
    </row>
    <row r="60" spans="1:12" ht="12.75" customHeight="1">
      <c r="A60" s="232"/>
      <c r="B60" s="422" t="s">
        <v>236</v>
      </c>
      <c r="C60" s="422"/>
      <c r="D60" s="183">
        <f>IF($D$32&lt;3,0,25%)</f>
        <v>0</v>
      </c>
      <c r="E60" s="233">
        <f>IF($D$32&gt;=3,$E$58*D60,0)</f>
        <v>0</v>
      </c>
      <c r="F60" s="230"/>
      <c r="G60" s="183">
        <f>IF($G$32&lt;3,0,100%)</f>
        <v>0</v>
      </c>
      <c r="H60" s="409">
        <f>IF($G$32&gt;=3,$H$58*G60,0)</f>
        <v>0</v>
      </c>
      <c r="I60" s="409"/>
      <c r="J60" s="230"/>
      <c r="K60" s="183">
        <f>IF($K$32&lt;3,0,25%)</f>
        <v>0</v>
      </c>
      <c r="L60" s="184">
        <f>IF($K$32&gt;=3,$L$58*K60,0)</f>
        <v>0</v>
      </c>
    </row>
    <row r="61" spans="2:12" ht="12.75" customHeight="1">
      <c r="B61" s="419" t="s">
        <v>216</v>
      </c>
      <c r="C61" s="419"/>
      <c r="D61" s="187">
        <f>IF($D$32&lt;4,0,15%)</f>
        <v>0</v>
      </c>
      <c r="E61" s="184">
        <f>IF($D$32&gt;=4,$E$58*D61*($D$32-3),0)</f>
        <v>0</v>
      </c>
      <c r="F61" s="230"/>
      <c r="G61" s="183">
        <f>IF($G$32&lt;4,0,100%)</f>
        <v>0</v>
      </c>
      <c r="H61" s="409">
        <f>IF($G$32&gt;=4,$H$58*G61*($G$32-3),0)</f>
        <v>0</v>
      </c>
      <c r="I61" s="409"/>
      <c r="J61" s="230"/>
      <c r="K61" s="185">
        <f>IF($K$32&lt;4,0,15%)</f>
        <v>0</v>
      </c>
      <c r="L61" s="184">
        <f>IF($K$32&gt;=4,$L$58*K61*($K$32-3),0)</f>
        <v>0</v>
      </c>
    </row>
    <row r="62" spans="2:12" ht="12.75" customHeight="1">
      <c r="B62" s="234"/>
      <c r="C62" s="190"/>
      <c r="D62" s="191" t="str">
        <f>IF($D$32=0,0,D63)</f>
        <v>Toplam     =</v>
      </c>
      <c r="E62" s="235">
        <f>SUM(E58:E61)</f>
        <v>24</v>
      </c>
      <c r="F62" s="230"/>
      <c r="G62" s="191" t="str">
        <f>IF($G$32=0,0,G63)</f>
        <v>Toplam   =</v>
      </c>
      <c r="H62" s="423">
        <f>SUM(H58:H61)</f>
        <v>24</v>
      </c>
      <c r="I62" s="423"/>
      <c r="J62" s="230"/>
      <c r="K62" s="195" t="str">
        <f>IF($K$32=0,0,K63)</f>
        <v>Toplam   =</v>
      </c>
      <c r="L62" s="236">
        <f>SUM(L58:L61)</f>
        <v>16</v>
      </c>
    </row>
    <row r="63" spans="2:12" ht="12.75" customHeight="1" hidden="1">
      <c r="B63" s="234"/>
      <c r="C63" s="194"/>
      <c r="D63" s="191" t="s">
        <v>217</v>
      </c>
      <c r="E63" s="236"/>
      <c r="F63" s="237"/>
      <c r="G63" s="195" t="s">
        <v>218</v>
      </c>
      <c r="H63" s="191"/>
      <c r="I63" s="236"/>
      <c r="J63" s="237"/>
      <c r="K63" s="195" t="s">
        <v>218</v>
      </c>
      <c r="L63" s="236"/>
    </row>
    <row r="64" spans="2:12" ht="12.75" customHeight="1">
      <c r="B64" s="234"/>
      <c r="C64" s="194"/>
      <c r="D64" s="194"/>
      <c r="E64" s="206"/>
      <c r="F64" s="237"/>
      <c r="G64" s="194"/>
      <c r="H64" s="194"/>
      <c r="I64" s="206"/>
      <c r="J64" s="237"/>
      <c r="K64" s="194"/>
      <c r="L64" s="206"/>
    </row>
    <row r="65" spans="2:12" ht="12.75" customHeight="1">
      <c r="B65" s="234"/>
      <c r="C65" s="194"/>
      <c r="D65" s="194"/>
      <c r="E65" s="206"/>
      <c r="F65" s="237"/>
      <c r="G65" s="194"/>
      <c r="H65" s="194"/>
      <c r="I65" s="206"/>
      <c r="J65" s="237"/>
      <c r="K65" s="194"/>
      <c r="L65" s="206"/>
    </row>
    <row r="66" spans="2:12" ht="12.75" customHeight="1">
      <c r="B66" s="238"/>
      <c r="C66" s="239"/>
      <c r="D66" s="240"/>
      <c r="E66" s="11"/>
      <c r="F66" s="11"/>
      <c r="G66" s="11"/>
      <c r="H66" s="11"/>
      <c r="I66" s="11"/>
      <c r="J66" s="11"/>
      <c r="K66" s="11"/>
      <c r="L66" s="55"/>
    </row>
    <row r="67" spans="2:12" ht="12.75" customHeight="1">
      <c r="B67" s="424" t="s">
        <v>237</v>
      </c>
      <c r="C67" s="424"/>
      <c r="D67" s="241">
        <f>ROUNDUP(E62,0)</f>
        <v>24</v>
      </c>
      <c r="E67" s="242"/>
      <c r="F67" s="243"/>
      <c r="G67" s="11"/>
      <c r="H67" s="11"/>
      <c r="I67" s="11"/>
      <c r="J67" s="11"/>
      <c r="K67" s="11"/>
      <c r="L67" s="55"/>
    </row>
    <row r="68" spans="2:10" ht="12.75" customHeight="1">
      <c r="B68" s="424" t="s">
        <v>238</v>
      </c>
      <c r="C68" s="424"/>
      <c r="D68" s="241">
        <f>ROUNDUP(H62,0)</f>
        <v>24</v>
      </c>
      <c r="E68" s="242"/>
      <c r="F68" s="243"/>
      <c r="G68" s="200"/>
      <c r="H68" s="200"/>
      <c r="I68" s="200"/>
      <c r="J68" s="200"/>
    </row>
    <row r="69" spans="2:12" ht="12.75" customHeight="1">
      <c r="B69" s="424" t="s">
        <v>239</v>
      </c>
      <c r="C69" s="424"/>
      <c r="D69" s="241">
        <f>ROUNDUP(L62,0)</f>
        <v>16</v>
      </c>
      <c r="E69" s="242"/>
      <c r="F69" s="243"/>
      <c r="G69" s="200"/>
      <c r="H69" s="200"/>
      <c r="J69" s="7" t="s">
        <v>240</v>
      </c>
      <c r="L69" s="11"/>
    </row>
    <row r="70" spans="2:12" ht="12.75" customHeight="1">
      <c r="B70" s="425" t="s">
        <v>241</v>
      </c>
      <c r="C70" s="425"/>
      <c r="D70" s="244">
        <f>SUM(D67:D69)</f>
        <v>64</v>
      </c>
      <c r="E70" s="245"/>
      <c r="F70" s="243"/>
      <c r="G70" s="206"/>
      <c r="H70" s="206"/>
      <c r="J70" s="7" t="s">
        <v>189</v>
      </c>
      <c r="L70" s="11"/>
    </row>
    <row r="71" spans="2:8" ht="12.75" customHeight="1">
      <c r="B71" s="246"/>
      <c r="C71" s="71"/>
      <c r="D71" s="247"/>
      <c r="E71" s="248"/>
      <c r="F71" s="71"/>
      <c r="G71" s="65"/>
      <c r="H71" s="65"/>
    </row>
    <row r="72" spans="2:8" ht="12.75" customHeight="1">
      <c r="B72" s="249"/>
      <c r="G72" s="71"/>
      <c r="H72" s="71"/>
    </row>
    <row r="73" ht="12.75" customHeight="1">
      <c r="B73" s="249"/>
    </row>
  </sheetData>
  <mergeCells count="55">
    <mergeCell ref="B68:C68"/>
    <mergeCell ref="B69:C69"/>
    <mergeCell ref="B70:C70"/>
    <mergeCell ref="B61:C61"/>
    <mergeCell ref="H61:I61"/>
    <mergeCell ref="H62:I62"/>
    <mergeCell ref="B67:C67"/>
    <mergeCell ref="B59:C59"/>
    <mergeCell ref="H59:I59"/>
    <mergeCell ref="B60:C60"/>
    <mergeCell ref="H60:I60"/>
    <mergeCell ref="B57:C57"/>
    <mergeCell ref="H57:I57"/>
    <mergeCell ref="B58:C58"/>
    <mergeCell ref="H58:I58"/>
    <mergeCell ref="F45:G45"/>
    <mergeCell ref="F46:G46"/>
    <mergeCell ref="F54:G54"/>
    <mergeCell ref="F55:G55"/>
    <mergeCell ref="F42:G42"/>
    <mergeCell ref="B43:E43"/>
    <mergeCell ref="F43:G43"/>
    <mergeCell ref="F44:G44"/>
    <mergeCell ref="B37:C37"/>
    <mergeCell ref="H37:I37"/>
    <mergeCell ref="H38:I38"/>
    <mergeCell ref="B41:E41"/>
    <mergeCell ref="F41:G41"/>
    <mergeCell ref="B35:C35"/>
    <mergeCell ref="H35:I35"/>
    <mergeCell ref="B36:C36"/>
    <mergeCell ref="H36:I36"/>
    <mergeCell ref="H32:I32"/>
    <mergeCell ref="B33:C33"/>
    <mergeCell ref="H33:I33"/>
    <mergeCell ref="B34:C34"/>
    <mergeCell ref="H34:I34"/>
    <mergeCell ref="J27:K27"/>
    <mergeCell ref="H28:I28"/>
    <mergeCell ref="J28:K28"/>
    <mergeCell ref="D31:E31"/>
    <mergeCell ref="G31:I31"/>
    <mergeCell ref="K31:L31"/>
    <mergeCell ref="C20:E20"/>
    <mergeCell ref="B21:E21"/>
    <mergeCell ref="D22:E22"/>
    <mergeCell ref="H27:I27"/>
    <mergeCell ref="B8:C8"/>
    <mergeCell ref="B9:C9"/>
    <mergeCell ref="B10:C10"/>
    <mergeCell ref="B19:E19"/>
    <mergeCell ref="B1:L1"/>
    <mergeCell ref="B2:L2"/>
    <mergeCell ref="B6:C6"/>
    <mergeCell ref="B7:C7"/>
  </mergeCells>
  <dataValidations count="3">
    <dataValidation type="whole" allowBlank="1" showInputMessage="1" showErrorMessage="1" prompt="Blok Adedini Giriniz" sqref="F18">
      <formula1>1</formula1>
      <formula2>1000</formula2>
    </dataValidation>
    <dataValidation operator="equal" allowBlank="1" showInputMessage="1" showErrorMessage="1" prompt="İnşaat Alanını Giriniz" sqref="F19:F20">
      <formula1>0</formula1>
    </dataValidation>
    <dataValidation type="list" operator="equal" allowBlank="1" showInputMessage="1" showErrorMessage="1" prompt="Listeden Yapı Maliyeti Sınıfı  Seçiniz" error="Yapı Maliyeti Sınıfı Listeden Seçiniz" sqref="F22">
      <formula1>"1,2,3A,3B,4A,4B,4C,5A,5B,5C,5D"</formula1>
    </dataValidation>
  </dataValidations>
  <printOptions/>
  <pageMargins left="0.5298611111111111" right="0.2" top="0.5" bottom="0.4701388888888889" header="0.5118055555555556" footer="0.5118055555555556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77"/>
  <sheetViews>
    <sheetView showZeros="0" workbookViewId="0" topLeftCell="A13">
      <selection activeCell="L29" sqref="L29"/>
    </sheetView>
  </sheetViews>
  <sheetFormatPr defaultColWidth="9.140625" defaultRowHeight="12.75"/>
  <cols>
    <col min="1" max="1" width="0.85546875" style="250" customWidth="1"/>
    <col min="2" max="3" width="1.28515625" style="250" customWidth="1"/>
    <col min="4" max="4" width="1.1484375" style="250" customWidth="1"/>
    <col min="5" max="5" width="2.421875" style="250" customWidth="1"/>
    <col min="6" max="6" width="6.140625" style="250" customWidth="1"/>
    <col min="7" max="7" width="5.57421875" style="250" customWidth="1"/>
    <col min="8" max="8" width="6.140625" style="250" customWidth="1"/>
    <col min="9" max="9" width="8.8515625" style="250" customWidth="1"/>
    <col min="10" max="10" width="13.28125" style="250" customWidth="1"/>
    <col min="11" max="11" width="5.140625" style="250" customWidth="1"/>
    <col min="12" max="12" width="6.421875" style="250" customWidth="1"/>
    <col min="13" max="13" width="6.28125" style="250" customWidth="1"/>
    <col min="14" max="14" width="6.57421875" style="250" customWidth="1"/>
    <col min="15" max="15" width="14.00390625" style="250" customWidth="1"/>
    <col min="16" max="16" width="13.421875" style="250" customWidth="1"/>
    <col min="17" max="17" width="6.140625" style="250" customWidth="1"/>
    <col min="18" max="18" width="6.57421875" style="250" customWidth="1"/>
    <col min="19" max="19" width="6.8515625" style="250" customWidth="1"/>
    <col min="20" max="20" width="7.57421875" style="250" customWidth="1"/>
    <col min="21" max="21" width="0.85546875" style="250" customWidth="1"/>
    <col min="22" max="22" width="1.28515625" style="250" customWidth="1"/>
    <col min="23" max="16384" width="6.140625" style="250" customWidth="1"/>
  </cols>
  <sheetData>
    <row r="1" ht="8.25" customHeight="1"/>
    <row r="2" ht="4.5" customHeight="1"/>
    <row r="3" spans="2:22" ht="7.5" customHeight="1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2:22" ht="12.75">
      <c r="B4" s="254"/>
      <c r="C4" s="255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7"/>
      <c r="V4" s="258"/>
    </row>
    <row r="5" spans="2:22" ht="15" customHeight="1">
      <c r="B5" s="254"/>
      <c r="C5" s="259"/>
      <c r="D5" s="260"/>
      <c r="E5" s="260"/>
      <c r="F5" s="260"/>
      <c r="G5" s="260"/>
      <c r="H5" s="260"/>
      <c r="I5" s="260"/>
      <c r="J5" s="260"/>
      <c r="K5" s="260"/>
      <c r="L5" s="261"/>
      <c r="M5" s="260"/>
      <c r="N5" s="260"/>
      <c r="O5" s="260"/>
      <c r="P5" s="260"/>
      <c r="Q5" s="260"/>
      <c r="R5" s="260"/>
      <c r="S5" s="260"/>
      <c r="T5" s="260"/>
      <c r="U5" s="262"/>
      <c r="V5" s="258"/>
    </row>
    <row r="6" spans="2:22" ht="15" customHeight="1">
      <c r="B6" s="254"/>
      <c r="C6" s="259"/>
      <c r="D6" s="260"/>
      <c r="E6" s="260"/>
      <c r="F6" s="260"/>
      <c r="G6" s="260"/>
      <c r="H6" s="260"/>
      <c r="I6" s="426" t="s">
        <v>242</v>
      </c>
      <c r="J6" s="426"/>
      <c r="K6" s="263"/>
      <c r="L6" s="264"/>
      <c r="M6" s="263"/>
      <c r="N6" s="265"/>
      <c r="O6" s="265"/>
      <c r="P6" s="427" t="s">
        <v>243</v>
      </c>
      <c r="Q6" s="427"/>
      <c r="R6" s="265"/>
      <c r="S6" s="260"/>
      <c r="T6" s="260"/>
      <c r="U6" s="262"/>
      <c r="V6" s="258"/>
    </row>
    <row r="7" spans="2:22" ht="15" customHeight="1">
      <c r="B7" s="254"/>
      <c r="C7" s="259"/>
      <c r="D7" s="260"/>
      <c r="E7" s="260"/>
      <c r="F7" s="260"/>
      <c r="G7" s="260"/>
      <c r="H7" s="260"/>
      <c r="I7" s="426"/>
      <c r="J7" s="426"/>
      <c r="K7" s="263"/>
      <c r="L7" s="263"/>
      <c r="M7" s="263"/>
      <c r="N7" s="265"/>
      <c r="O7" s="265"/>
      <c r="P7" s="427" t="s">
        <v>244</v>
      </c>
      <c r="Q7" s="427"/>
      <c r="R7" s="265"/>
      <c r="S7" s="260"/>
      <c r="T7" s="260"/>
      <c r="U7" s="262"/>
      <c r="V7" s="258"/>
    </row>
    <row r="8" spans="2:22" ht="12.75" customHeight="1">
      <c r="B8" s="254"/>
      <c r="C8" s="259"/>
      <c r="D8" s="260"/>
      <c r="E8" s="260"/>
      <c r="F8" s="260"/>
      <c r="G8" s="260"/>
      <c r="H8" s="260"/>
      <c r="I8" s="428" t="s">
        <v>245</v>
      </c>
      <c r="J8" s="428"/>
      <c r="K8" s="428"/>
      <c r="L8" s="428"/>
      <c r="M8" s="428"/>
      <c r="N8" s="428"/>
      <c r="O8" s="428"/>
      <c r="P8" s="427" t="s">
        <v>246</v>
      </c>
      <c r="Q8" s="427"/>
      <c r="R8" s="265"/>
      <c r="S8" s="260"/>
      <c r="T8" s="260"/>
      <c r="U8" s="262"/>
      <c r="V8" s="258"/>
    </row>
    <row r="9" spans="2:22" ht="10.5" customHeight="1">
      <c r="B9" s="254"/>
      <c r="C9" s="259"/>
      <c r="D9" s="260"/>
      <c r="E9" s="260"/>
      <c r="F9" s="260"/>
      <c r="G9" s="260"/>
      <c r="H9" s="260"/>
      <c r="I9" s="428"/>
      <c r="J9" s="428"/>
      <c r="K9" s="428"/>
      <c r="L9" s="428"/>
      <c r="M9" s="428"/>
      <c r="N9" s="428"/>
      <c r="O9" s="428"/>
      <c r="P9" s="260"/>
      <c r="Q9" s="260"/>
      <c r="R9" s="260"/>
      <c r="S9" s="260"/>
      <c r="T9" s="260"/>
      <c r="U9" s="262"/>
      <c r="V9" s="258"/>
    </row>
    <row r="10" spans="2:22" ht="10.5" customHeight="1">
      <c r="B10" s="254"/>
      <c r="C10" s="259"/>
      <c r="D10" s="260"/>
      <c r="E10" s="260"/>
      <c r="F10" s="260"/>
      <c r="G10" s="260"/>
      <c r="H10" s="260"/>
      <c r="I10" s="429" t="s">
        <v>247</v>
      </c>
      <c r="J10" s="429"/>
      <c r="K10" s="429"/>
      <c r="L10" s="429"/>
      <c r="M10" s="263"/>
      <c r="N10" s="266"/>
      <c r="O10" s="260"/>
      <c r="P10" s="260"/>
      <c r="Q10" s="260"/>
      <c r="R10" s="260"/>
      <c r="S10" s="260"/>
      <c r="T10" s="260"/>
      <c r="U10" s="262"/>
      <c r="V10" s="258"/>
    </row>
    <row r="11" spans="2:22" ht="10.5" customHeight="1">
      <c r="B11" s="254"/>
      <c r="C11" s="259"/>
      <c r="D11" s="260"/>
      <c r="E11" s="260"/>
      <c r="F11" s="260"/>
      <c r="G11" s="260"/>
      <c r="H11" s="260"/>
      <c r="I11" s="429"/>
      <c r="J11" s="429"/>
      <c r="K11" s="429"/>
      <c r="L11" s="429"/>
      <c r="M11" s="263"/>
      <c r="N11" s="266"/>
      <c r="O11" s="260"/>
      <c r="P11" s="260"/>
      <c r="Q11" s="260"/>
      <c r="R11" s="260"/>
      <c r="S11" s="260"/>
      <c r="T11" s="260"/>
      <c r="U11" s="262"/>
      <c r="V11" s="258"/>
    </row>
    <row r="12" spans="2:22" ht="10.5" customHeight="1">
      <c r="B12" s="254"/>
      <c r="C12" s="259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2"/>
      <c r="V12" s="258"/>
    </row>
    <row r="13" spans="2:22" ht="12.75">
      <c r="B13" s="254"/>
      <c r="C13" s="259"/>
      <c r="D13" s="260"/>
      <c r="E13" s="260"/>
      <c r="F13" s="260" t="s">
        <v>248</v>
      </c>
      <c r="G13" s="260"/>
      <c r="H13" s="260"/>
      <c r="I13" s="267" t="s">
        <v>249</v>
      </c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2"/>
      <c r="V13" s="258"/>
    </row>
    <row r="14" spans="1:256" ht="12.75" customHeight="1">
      <c r="A14"/>
      <c r="B14" s="268"/>
      <c r="C14" s="269"/>
      <c r="D14" s="11"/>
      <c r="E14" s="11"/>
      <c r="F14" s="11"/>
      <c r="G14" s="11"/>
      <c r="H14" s="11"/>
      <c r="I14" s="11" t="s">
        <v>250</v>
      </c>
      <c r="J14" s="11"/>
      <c r="K14" s="11"/>
      <c r="L14" s="11"/>
      <c r="M14" s="11"/>
      <c r="N14" s="11"/>
      <c r="O14" s="11"/>
      <c r="P14" s="11"/>
      <c r="Q14" s="11"/>
      <c r="R14" s="11"/>
      <c r="S14" s="270"/>
      <c r="T14" s="11"/>
      <c r="U14" s="271"/>
      <c r="V14" s="272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/>
      <c r="B15" s="268"/>
      <c r="C15" s="269"/>
      <c r="D15" s="11"/>
      <c r="E15" s="11"/>
      <c r="F15" s="11"/>
      <c r="G15" s="11"/>
      <c r="H15" s="11"/>
      <c r="I15" s="273" t="s">
        <v>251</v>
      </c>
      <c r="J15" s="11"/>
      <c r="K15" s="11"/>
      <c r="L15" s="11"/>
      <c r="M15" s="11"/>
      <c r="N15" s="11"/>
      <c r="O15" s="11"/>
      <c r="P15" s="11"/>
      <c r="Q15" s="11"/>
      <c r="R15" s="11"/>
      <c r="S15" s="270"/>
      <c r="T15" s="11"/>
      <c r="U15" s="271"/>
      <c r="V15" s="272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9" customHeight="1">
      <c r="A16"/>
      <c r="B16" s="268"/>
      <c r="C16" s="269"/>
      <c r="D16" s="11"/>
      <c r="E16" s="11"/>
      <c r="F16" s="273"/>
      <c r="G16" s="11"/>
      <c r="H16" s="11"/>
      <c r="I16" s="273"/>
      <c r="J16" s="11"/>
      <c r="K16" s="11"/>
      <c r="L16" s="11"/>
      <c r="M16" s="11"/>
      <c r="N16" s="11"/>
      <c r="O16" s="11"/>
      <c r="P16" s="11"/>
      <c r="Q16" s="11"/>
      <c r="R16" s="11"/>
      <c r="S16" s="270"/>
      <c r="T16" s="11"/>
      <c r="U16" s="271"/>
      <c r="V16" s="272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2" ht="7.5" customHeight="1">
      <c r="B17" s="254"/>
      <c r="C17" s="259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74"/>
      <c r="T17" s="260"/>
      <c r="U17" s="262"/>
      <c r="V17" s="258"/>
    </row>
    <row r="18" spans="2:22" ht="20.25" customHeight="1">
      <c r="B18" s="254"/>
      <c r="C18" s="259"/>
      <c r="D18" s="430" t="s">
        <v>252</v>
      </c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262"/>
      <c r="V18" s="258"/>
    </row>
    <row r="19" spans="2:22" ht="23.25">
      <c r="B19" s="254"/>
      <c r="C19" s="259"/>
      <c r="D19" s="260"/>
      <c r="E19" s="430" t="s">
        <v>253</v>
      </c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262"/>
      <c r="V19" s="258"/>
    </row>
    <row r="20" spans="2:22" ht="18" customHeight="1">
      <c r="B20" s="254"/>
      <c r="C20" s="259"/>
      <c r="D20" s="260"/>
      <c r="E20" s="260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60"/>
      <c r="U20" s="262"/>
      <c r="V20" s="258"/>
    </row>
    <row r="21" spans="2:22" ht="4.5" customHeight="1">
      <c r="B21" s="254"/>
      <c r="C21" s="259"/>
      <c r="D21" s="276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8"/>
      <c r="U21" s="262"/>
      <c r="V21" s="258"/>
    </row>
    <row r="22" spans="2:22" s="279" customFormat="1" ht="21" customHeight="1">
      <c r="B22" s="280"/>
      <c r="C22" s="281"/>
      <c r="D22" s="282" t="s">
        <v>254</v>
      </c>
      <c r="E22" s="283"/>
      <c r="F22" s="283"/>
      <c r="G22" s="283"/>
      <c r="H22" s="283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5"/>
      <c r="U22" s="286"/>
      <c r="V22" s="287"/>
    </row>
    <row r="23" spans="2:22" s="279" customFormat="1" ht="4.5" customHeight="1">
      <c r="B23" s="280"/>
      <c r="C23" s="281"/>
      <c r="D23" s="288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90"/>
      <c r="U23" s="286"/>
      <c r="V23" s="287"/>
    </row>
    <row r="24" spans="2:22" ht="15.75" customHeight="1">
      <c r="B24" s="254"/>
      <c r="C24" s="259"/>
      <c r="D24" s="431" t="s">
        <v>255</v>
      </c>
      <c r="E24" s="431"/>
      <c r="F24" s="431"/>
      <c r="G24" s="431"/>
      <c r="H24" s="431"/>
      <c r="I24" s="431"/>
      <c r="J24" s="431"/>
      <c r="K24" s="431"/>
      <c r="L24" s="432"/>
      <c r="M24" s="432"/>
      <c r="N24" s="432"/>
      <c r="O24" s="432"/>
      <c r="P24" s="432"/>
      <c r="Q24" s="432"/>
      <c r="R24" s="432"/>
      <c r="S24" s="432"/>
      <c r="T24" s="432"/>
      <c r="U24" s="262"/>
      <c r="V24" s="258"/>
    </row>
    <row r="25" spans="2:22" ht="15.75" customHeight="1">
      <c r="B25" s="254"/>
      <c r="C25" s="259"/>
      <c r="D25" s="433" t="s">
        <v>256</v>
      </c>
      <c r="E25" s="433"/>
      <c r="F25" s="433"/>
      <c r="G25" s="433"/>
      <c r="H25" s="433"/>
      <c r="I25" s="433"/>
      <c r="J25" s="433"/>
      <c r="K25" s="433"/>
      <c r="L25" s="434"/>
      <c r="M25" s="434"/>
      <c r="N25" s="434"/>
      <c r="O25" s="434"/>
      <c r="P25" s="434"/>
      <c r="Q25" s="434"/>
      <c r="R25" s="434"/>
      <c r="S25" s="434"/>
      <c r="T25" s="434"/>
      <c r="U25" s="262"/>
      <c r="V25" s="258"/>
    </row>
    <row r="26" spans="2:22" ht="15.75" customHeight="1">
      <c r="B26" s="254"/>
      <c r="C26" s="259"/>
      <c r="D26" s="433" t="s">
        <v>257</v>
      </c>
      <c r="E26" s="433"/>
      <c r="F26" s="433"/>
      <c r="G26" s="433"/>
      <c r="H26" s="433"/>
      <c r="I26" s="433"/>
      <c r="J26" s="433"/>
      <c r="K26" s="433"/>
      <c r="L26" s="434"/>
      <c r="M26" s="434"/>
      <c r="N26" s="434"/>
      <c r="O26" s="434"/>
      <c r="P26" s="434"/>
      <c r="Q26" s="434"/>
      <c r="R26" s="434"/>
      <c r="S26" s="434"/>
      <c r="T26" s="434"/>
      <c r="U26" s="262"/>
      <c r="V26" s="258"/>
    </row>
    <row r="27" spans="2:22" ht="15.75" customHeight="1">
      <c r="B27" s="254"/>
      <c r="C27" s="259"/>
      <c r="D27" s="433" t="s">
        <v>258</v>
      </c>
      <c r="E27" s="433"/>
      <c r="F27" s="433"/>
      <c r="G27" s="433"/>
      <c r="H27" s="433"/>
      <c r="I27" s="433"/>
      <c r="J27" s="433"/>
      <c r="K27" s="433"/>
      <c r="L27" s="434"/>
      <c r="M27" s="434"/>
      <c r="N27" s="434"/>
      <c r="O27" s="434"/>
      <c r="P27" s="434"/>
      <c r="Q27" s="434"/>
      <c r="R27" s="434"/>
      <c r="S27" s="434"/>
      <c r="T27" s="434"/>
      <c r="U27" s="262"/>
      <c r="V27" s="258"/>
    </row>
    <row r="28" spans="2:22" ht="31.5" customHeight="1">
      <c r="B28" s="254"/>
      <c r="C28" s="259"/>
      <c r="D28" s="433" t="s">
        <v>259</v>
      </c>
      <c r="E28" s="433"/>
      <c r="F28" s="433"/>
      <c r="G28" s="433"/>
      <c r="H28" s="433"/>
      <c r="I28" s="433"/>
      <c r="J28" s="433"/>
      <c r="K28" s="433"/>
      <c r="L28" s="435"/>
      <c r="M28" s="435"/>
      <c r="N28" s="435"/>
      <c r="O28" s="435"/>
      <c r="P28" s="435"/>
      <c r="Q28" s="435"/>
      <c r="R28" s="435"/>
      <c r="S28" s="435"/>
      <c r="T28" s="435"/>
      <c r="U28" s="262"/>
      <c r="V28" s="258"/>
    </row>
    <row r="29" spans="2:22" ht="15.75" customHeight="1">
      <c r="B29" s="254"/>
      <c r="C29" s="259"/>
      <c r="D29" s="433" t="s">
        <v>260</v>
      </c>
      <c r="E29" s="433"/>
      <c r="F29" s="433"/>
      <c r="G29" s="433"/>
      <c r="H29" s="433"/>
      <c r="I29" s="433"/>
      <c r="J29" s="433"/>
      <c r="K29" s="433"/>
      <c r="L29" s="434"/>
      <c r="M29" s="434"/>
      <c r="N29" s="434"/>
      <c r="O29" s="434"/>
      <c r="P29" s="434"/>
      <c r="Q29" s="434"/>
      <c r="R29" s="434"/>
      <c r="S29" s="434"/>
      <c r="T29" s="434"/>
      <c r="U29" s="262"/>
      <c r="V29" s="258"/>
    </row>
    <row r="30" spans="2:22" ht="4.5" customHeight="1">
      <c r="B30" s="254"/>
      <c r="C30" s="259"/>
      <c r="D30" s="291"/>
      <c r="E30" s="292"/>
      <c r="F30" s="292"/>
      <c r="G30" s="292"/>
      <c r="H30" s="292"/>
      <c r="I30" s="292"/>
      <c r="J30" s="292"/>
      <c r="K30" s="292"/>
      <c r="L30" s="293"/>
      <c r="M30" s="294"/>
      <c r="N30" s="294"/>
      <c r="O30" s="294"/>
      <c r="P30" s="294"/>
      <c r="Q30" s="294"/>
      <c r="R30" s="294"/>
      <c r="S30" s="294"/>
      <c r="T30" s="295"/>
      <c r="U30" s="262"/>
      <c r="V30" s="258"/>
    </row>
    <row r="31" spans="2:22" ht="15.75" customHeight="1">
      <c r="B31" s="254"/>
      <c r="C31" s="259"/>
      <c r="D31" s="296"/>
      <c r="E31" s="296"/>
      <c r="F31" s="296"/>
      <c r="G31" s="296"/>
      <c r="H31" s="296"/>
      <c r="I31" s="296"/>
      <c r="J31" s="296"/>
      <c r="K31" s="296"/>
      <c r="L31" s="297"/>
      <c r="M31" s="298"/>
      <c r="N31" s="298"/>
      <c r="O31" s="298"/>
      <c r="P31" s="298"/>
      <c r="Q31" s="298"/>
      <c r="R31" s="298"/>
      <c r="S31" s="298"/>
      <c r="T31" s="298"/>
      <c r="U31" s="262"/>
      <c r="V31" s="258"/>
    </row>
    <row r="32" spans="2:22" ht="5.25" customHeight="1">
      <c r="B32" s="254"/>
      <c r="C32" s="259"/>
      <c r="D32" s="299"/>
      <c r="E32" s="300"/>
      <c r="F32" s="300"/>
      <c r="G32" s="300"/>
      <c r="H32" s="300"/>
      <c r="I32" s="300"/>
      <c r="J32" s="300"/>
      <c r="K32" s="300"/>
      <c r="L32" s="301"/>
      <c r="M32" s="302"/>
      <c r="N32" s="302"/>
      <c r="O32" s="302"/>
      <c r="P32" s="302"/>
      <c r="Q32" s="302"/>
      <c r="R32" s="302"/>
      <c r="S32" s="302"/>
      <c r="T32" s="303"/>
      <c r="U32" s="262"/>
      <c r="V32" s="258"/>
    </row>
    <row r="33" spans="2:22" s="304" customFormat="1" ht="21" customHeight="1">
      <c r="B33" s="305"/>
      <c r="C33" s="306"/>
      <c r="D33" s="282" t="s">
        <v>261</v>
      </c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307"/>
      <c r="U33" s="308"/>
      <c r="V33" s="309"/>
    </row>
    <row r="34" spans="2:22" s="310" customFormat="1" ht="4.5" customHeight="1">
      <c r="B34" s="311"/>
      <c r="C34" s="312"/>
      <c r="D34" s="288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90"/>
      <c r="U34" s="313"/>
      <c r="V34" s="314"/>
    </row>
    <row r="35" spans="2:22" s="279" customFormat="1" ht="15.75" customHeight="1">
      <c r="B35" s="280"/>
      <c r="C35" s="281"/>
      <c r="D35" s="431" t="s">
        <v>262</v>
      </c>
      <c r="E35" s="431"/>
      <c r="F35" s="431"/>
      <c r="G35" s="431"/>
      <c r="H35" s="431"/>
      <c r="I35" s="436">
        <f>SÖZLEŞME!$Y$7</f>
        <v>0</v>
      </c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286"/>
      <c r="V35" s="287"/>
    </row>
    <row r="36" spans="2:22" s="279" customFormat="1" ht="15.75" customHeight="1">
      <c r="B36" s="280"/>
      <c r="C36" s="281"/>
      <c r="D36" s="433" t="s">
        <v>263</v>
      </c>
      <c r="E36" s="433"/>
      <c r="F36" s="433"/>
      <c r="G36" s="433"/>
      <c r="H36" s="433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286"/>
      <c r="V36" s="287"/>
    </row>
    <row r="37" spans="2:22" s="279" customFormat="1" ht="15.75" customHeight="1">
      <c r="B37" s="280"/>
      <c r="C37" s="281"/>
      <c r="D37" s="433" t="s">
        <v>264</v>
      </c>
      <c r="E37" s="433"/>
      <c r="F37" s="433"/>
      <c r="G37" s="433"/>
      <c r="H37" s="433"/>
      <c r="I37" s="437">
        <f>SÖZLEŞME!Y8</f>
        <v>0</v>
      </c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286"/>
      <c r="V37" s="287"/>
    </row>
    <row r="38" spans="2:22" s="279" customFormat="1" ht="15.75" customHeight="1">
      <c r="B38" s="280"/>
      <c r="C38" s="281"/>
      <c r="D38" s="438" t="s">
        <v>265</v>
      </c>
      <c r="E38" s="438"/>
      <c r="F38" s="438"/>
      <c r="G38" s="438"/>
      <c r="H38" s="438"/>
      <c r="I38" s="439">
        <f>SÖZLEŞME!Y10</f>
        <v>0</v>
      </c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286"/>
      <c r="V38" s="287"/>
    </row>
    <row r="39" spans="2:22" s="279" customFormat="1" ht="15.75" customHeight="1">
      <c r="B39" s="280"/>
      <c r="C39" s="281"/>
      <c r="D39" s="431" t="s">
        <v>266</v>
      </c>
      <c r="E39" s="431"/>
      <c r="F39" s="431"/>
      <c r="G39" s="431"/>
      <c r="H39" s="431"/>
      <c r="I39" s="436">
        <f>SÖZLEŞME!$B$17</f>
        <v>0</v>
      </c>
      <c r="J39" s="436"/>
      <c r="K39" s="436"/>
      <c r="L39" s="440" t="s">
        <v>267</v>
      </c>
      <c r="M39" s="440"/>
      <c r="N39" s="441" t="s">
        <v>268</v>
      </c>
      <c r="O39" s="441"/>
      <c r="P39" s="441"/>
      <c r="Q39" s="441" t="s">
        <v>269</v>
      </c>
      <c r="R39" s="441"/>
      <c r="S39" s="442" t="s">
        <v>76</v>
      </c>
      <c r="T39" s="442"/>
      <c r="U39" s="286"/>
      <c r="V39" s="287"/>
    </row>
    <row r="40" spans="2:22" s="279" customFormat="1" ht="15.75" customHeight="1">
      <c r="B40" s="280"/>
      <c r="C40" s="281"/>
      <c r="D40" s="433" t="s">
        <v>12</v>
      </c>
      <c r="E40" s="433"/>
      <c r="F40" s="433"/>
      <c r="G40" s="433"/>
      <c r="H40" s="433"/>
      <c r="I40" s="437">
        <f>SÖZLEŞME!$G$17</f>
        <v>0</v>
      </c>
      <c r="J40" s="437"/>
      <c r="K40" s="437"/>
      <c r="L40" s="443">
        <f>SÖZLEŞME!G26</f>
        <v>1</v>
      </c>
      <c r="M40" s="443"/>
      <c r="N40" s="444">
        <f>SÖZLEŞME!$B$26</f>
        <v>0</v>
      </c>
      <c r="O40" s="444"/>
      <c r="P40" s="444"/>
      <c r="Q40" s="444">
        <f>SÖZLEŞME!M26</f>
        <v>1</v>
      </c>
      <c r="R40" s="444"/>
      <c r="S40" s="445">
        <f>'ASGARİ ÜCRET FORMU'!$F$21</f>
        <v>360</v>
      </c>
      <c r="T40" s="445"/>
      <c r="U40" s="286"/>
      <c r="V40" s="287"/>
    </row>
    <row r="41" spans="2:22" s="279" customFormat="1" ht="15.75" customHeight="1">
      <c r="B41" s="280"/>
      <c r="C41" s="281"/>
      <c r="D41" s="433" t="s">
        <v>270</v>
      </c>
      <c r="E41" s="433"/>
      <c r="F41" s="433"/>
      <c r="G41" s="433"/>
      <c r="H41" s="433"/>
      <c r="I41" s="437"/>
      <c r="J41" s="437"/>
      <c r="K41" s="437"/>
      <c r="L41" s="446"/>
      <c r="M41" s="446"/>
      <c r="N41" s="447"/>
      <c r="O41" s="447"/>
      <c r="P41" s="447"/>
      <c r="Q41" s="447"/>
      <c r="R41" s="447"/>
      <c r="S41" s="448"/>
      <c r="T41" s="448"/>
      <c r="U41" s="286"/>
      <c r="V41" s="287"/>
    </row>
    <row r="42" spans="2:22" s="279" customFormat="1" ht="15.75" customHeight="1">
      <c r="B42" s="280"/>
      <c r="C42" s="281"/>
      <c r="D42" s="433" t="s">
        <v>13</v>
      </c>
      <c r="E42" s="433"/>
      <c r="F42" s="433"/>
      <c r="G42" s="433"/>
      <c r="H42" s="433"/>
      <c r="I42" s="437">
        <f>SÖZLEŞME!$K$17</f>
        <v>0</v>
      </c>
      <c r="J42" s="437"/>
      <c r="K42" s="437"/>
      <c r="L42" s="446"/>
      <c r="M42" s="446"/>
      <c r="N42" s="447"/>
      <c r="O42" s="447"/>
      <c r="P42" s="447"/>
      <c r="Q42" s="447"/>
      <c r="R42" s="447"/>
      <c r="S42" s="448"/>
      <c r="T42" s="448"/>
      <c r="U42" s="286"/>
      <c r="V42" s="287"/>
    </row>
    <row r="43" spans="2:22" s="279" customFormat="1" ht="15.75" customHeight="1">
      <c r="B43" s="280"/>
      <c r="C43" s="281"/>
      <c r="D43" s="433" t="s">
        <v>271</v>
      </c>
      <c r="E43" s="433"/>
      <c r="F43" s="433"/>
      <c r="G43" s="433"/>
      <c r="H43" s="433"/>
      <c r="I43" s="434"/>
      <c r="J43" s="434"/>
      <c r="K43" s="434"/>
      <c r="L43" s="446"/>
      <c r="M43" s="446"/>
      <c r="N43" s="447"/>
      <c r="O43" s="447"/>
      <c r="P43" s="447"/>
      <c r="Q43" s="447"/>
      <c r="R43" s="447"/>
      <c r="S43" s="448"/>
      <c r="T43" s="448"/>
      <c r="U43" s="286"/>
      <c r="V43" s="287"/>
    </row>
    <row r="44" spans="2:22" s="279" customFormat="1" ht="15.75" customHeight="1">
      <c r="B44" s="280"/>
      <c r="C44" s="281"/>
      <c r="D44" s="433" t="s">
        <v>14</v>
      </c>
      <c r="E44" s="433"/>
      <c r="F44" s="433"/>
      <c r="G44" s="433"/>
      <c r="H44" s="433"/>
      <c r="I44" s="437">
        <f>SÖZLEŞME!$R$17</f>
        <v>0</v>
      </c>
      <c r="J44" s="437"/>
      <c r="K44" s="437"/>
      <c r="L44" s="446"/>
      <c r="M44" s="446"/>
      <c r="N44" s="447"/>
      <c r="O44" s="447"/>
      <c r="P44" s="447"/>
      <c r="Q44" s="447"/>
      <c r="R44" s="447"/>
      <c r="S44" s="448"/>
      <c r="T44" s="448"/>
      <c r="U44" s="286"/>
      <c r="V44" s="287"/>
    </row>
    <row r="45" spans="2:22" s="279" customFormat="1" ht="15.75" customHeight="1">
      <c r="B45" s="280"/>
      <c r="C45" s="281"/>
      <c r="D45" s="433" t="s">
        <v>15</v>
      </c>
      <c r="E45" s="433"/>
      <c r="F45" s="433"/>
      <c r="G45" s="433"/>
      <c r="H45" s="433"/>
      <c r="I45" s="449">
        <f>SÖZLEŞME!$AA$17</f>
        <v>0</v>
      </c>
      <c r="J45" s="449"/>
      <c r="K45" s="449"/>
      <c r="L45" s="450"/>
      <c r="M45" s="450"/>
      <c r="N45" s="451"/>
      <c r="O45" s="451"/>
      <c r="P45" s="451"/>
      <c r="Q45" s="447"/>
      <c r="R45" s="447"/>
      <c r="S45" s="448"/>
      <c r="T45" s="448"/>
      <c r="U45" s="286"/>
      <c r="V45" s="287"/>
    </row>
    <row r="46" spans="2:22" s="279" customFormat="1" ht="15.75" customHeight="1">
      <c r="B46" s="280"/>
      <c r="C46" s="281"/>
      <c r="D46" s="433" t="s">
        <v>16</v>
      </c>
      <c r="E46" s="433"/>
      <c r="F46" s="433"/>
      <c r="G46" s="433"/>
      <c r="H46" s="433"/>
      <c r="I46" s="437">
        <f>SÖZLEŞME!$AF$17</f>
        <v>0</v>
      </c>
      <c r="J46" s="437"/>
      <c r="K46" s="437"/>
      <c r="L46" s="452" t="s">
        <v>272</v>
      </c>
      <c r="M46" s="452"/>
      <c r="N46" s="452"/>
      <c r="O46" s="453">
        <f>'ASGARİ ÜCRET FORMU'!$F$22</f>
        <v>2</v>
      </c>
      <c r="P46" s="453"/>
      <c r="Q46" s="454" t="s">
        <v>273</v>
      </c>
      <c r="R46" s="454"/>
      <c r="S46" s="448">
        <f>SUM(S40:S45)</f>
        <v>360</v>
      </c>
      <c r="T46" s="448"/>
      <c r="U46" s="286"/>
      <c r="V46" s="287"/>
    </row>
    <row r="47" spans="2:22" s="279" customFormat="1" ht="15.75" customHeight="1">
      <c r="B47" s="280"/>
      <c r="C47" s="281"/>
      <c r="D47" s="433" t="s">
        <v>17</v>
      </c>
      <c r="E47" s="433"/>
      <c r="F47" s="433"/>
      <c r="G47" s="433"/>
      <c r="H47" s="433"/>
      <c r="I47" s="449">
        <f>SÖZLEŞME!$AJ$17</f>
        <v>0</v>
      </c>
      <c r="J47" s="449"/>
      <c r="K47" s="449"/>
      <c r="L47" s="454" t="s">
        <v>274</v>
      </c>
      <c r="M47" s="454"/>
      <c r="N47" s="454"/>
      <c r="O47" s="455" t="str">
        <f>IF(O46&lt;3,"SOBALI",IF(O46="3A","KAT KALORİFERLİ",IF(O46="3B","MERKEZİ KALORİFERLİ",0)))</f>
        <v>SOBALI</v>
      </c>
      <c r="P47" s="455"/>
      <c r="Q47" s="456" t="s">
        <v>275</v>
      </c>
      <c r="R47" s="456"/>
      <c r="S47" s="457" t="s">
        <v>276</v>
      </c>
      <c r="T47" s="457"/>
      <c r="U47" s="286"/>
      <c r="V47" s="287"/>
    </row>
    <row r="48" spans="2:22" s="279" customFormat="1" ht="49.5" customHeight="1">
      <c r="B48" s="280"/>
      <c r="C48" s="281"/>
      <c r="D48" s="433" t="s">
        <v>277</v>
      </c>
      <c r="E48" s="433"/>
      <c r="F48" s="433"/>
      <c r="G48" s="433"/>
      <c r="H48" s="433"/>
      <c r="I48" s="458" t="str">
        <f>IF(O46&lt;3,"ISI YALITIM   ve                     SIHHİ TESİSATI","ISI YALITIM,                            SIHHİ TESİSATI  ve                   KALORİFER TESİSATI ")</f>
        <v>ISI YALITIM   ve                     SIHHİ TESİSATI</v>
      </c>
      <c r="J48" s="458"/>
      <c r="K48" s="458"/>
      <c r="L48" s="459" t="s">
        <v>278</v>
      </c>
      <c r="M48" s="459"/>
      <c r="N48" s="459"/>
      <c r="O48" s="460"/>
      <c r="P48" s="460"/>
      <c r="Q48" s="460"/>
      <c r="R48" s="460"/>
      <c r="S48" s="460"/>
      <c r="T48" s="460"/>
      <c r="U48" s="286"/>
      <c r="V48" s="287"/>
    </row>
    <row r="49" spans="2:22" s="279" customFormat="1" ht="15.75" customHeight="1">
      <c r="B49" s="280"/>
      <c r="C49" s="281"/>
      <c r="D49" s="433" t="s">
        <v>279</v>
      </c>
      <c r="E49" s="433"/>
      <c r="F49" s="433"/>
      <c r="G49" s="433"/>
      <c r="H49" s="433"/>
      <c r="I49" s="437">
        <f>SÖZLEŞME!$B$26</f>
        <v>0</v>
      </c>
      <c r="J49" s="437"/>
      <c r="K49" s="437"/>
      <c r="L49" s="459"/>
      <c r="M49" s="459"/>
      <c r="N49" s="459"/>
      <c r="O49" s="460"/>
      <c r="P49" s="460"/>
      <c r="Q49" s="460"/>
      <c r="R49" s="460"/>
      <c r="S49" s="460"/>
      <c r="T49" s="460"/>
      <c r="U49" s="286"/>
      <c r="V49" s="287"/>
    </row>
    <row r="50" spans="2:22" s="279" customFormat="1" ht="4.5" customHeight="1">
      <c r="B50" s="280"/>
      <c r="C50" s="281"/>
      <c r="D50" s="315"/>
      <c r="E50" s="316"/>
      <c r="F50" s="292"/>
      <c r="G50" s="292"/>
      <c r="H50" s="292"/>
      <c r="I50" s="292"/>
      <c r="J50" s="292"/>
      <c r="K50" s="317"/>
      <c r="L50" s="318"/>
      <c r="M50" s="318"/>
      <c r="N50" s="318"/>
      <c r="O50" s="319"/>
      <c r="P50" s="319"/>
      <c r="Q50" s="319"/>
      <c r="R50" s="319"/>
      <c r="S50" s="319"/>
      <c r="T50" s="320"/>
      <c r="U50" s="286"/>
      <c r="V50" s="287"/>
    </row>
    <row r="51" spans="2:22" ht="12.75">
      <c r="B51" s="254"/>
      <c r="C51" s="259"/>
      <c r="D51" s="260"/>
      <c r="E51" s="260"/>
      <c r="F51" s="260"/>
      <c r="G51" s="260"/>
      <c r="H51" s="260"/>
      <c r="I51" s="260"/>
      <c r="J51" s="260"/>
      <c r="K51" s="260"/>
      <c r="L51" s="298"/>
      <c r="M51" s="298"/>
      <c r="N51" s="298"/>
      <c r="O51" s="298"/>
      <c r="P51" s="298"/>
      <c r="Q51" s="298"/>
      <c r="R51" s="298"/>
      <c r="S51" s="298"/>
      <c r="T51" s="298"/>
      <c r="U51" s="262"/>
      <c r="V51" s="258"/>
    </row>
    <row r="52" spans="2:22" ht="12.75">
      <c r="B52" s="254"/>
      <c r="C52" s="259"/>
      <c r="D52" s="260"/>
      <c r="E52" s="260"/>
      <c r="F52" s="260"/>
      <c r="G52" s="260"/>
      <c r="H52" s="260"/>
      <c r="I52" s="260"/>
      <c r="J52" s="260"/>
      <c r="K52" s="260"/>
      <c r="L52" s="298"/>
      <c r="M52" s="298"/>
      <c r="N52" s="298"/>
      <c r="O52" s="298"/>
      <c r="P52" s="298"/>
      <c r="Q52" s="298"/>
      <c r="R52" s="298"/>
      <c r="S52" s="298"/>
      <c r="T52" s="298"/>
      <c r="U52" s="262"/>
      <c r="V52" s="258"/>
    </row>
    <row r="53" spans="2:22" s="321" customFormat="1" ht="12.75">
      <c r="B53" s="322"/>
      <c r="C53" s="323"/>
      <c r="D53" s="324" t="s">
        <v>280</v>
      </c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6"/>
      <c r="V53" s="327"/>
    </row>
    <row r="54" spans="2:22" s="321" customFormat="1" ht="12.75">
      <c r="B54" s="322"/>
      <c r="C54" s="323"/>
      <c r="D54" s="324" t="s">
        <v>281</v>
      </c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6"/>
      <c r="V54" s="327"/>
    </row>
    <row r="55" spans="2:22" s="321" customFormat="1" ht="12.75">
      <c r="B55" s="322"/>
      <c r="C55" s="323"/>
      <c r="D55" s="324" t="s">
        <v>282</v>
      </c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6"/>
      <c r="V55" s="327"/>
    </row>
    <row r="56" spans="2:22" s="321" customFormat="1" ht="12.75">
      <c r="B56" s="322"/>
      <c r="C56" s="323"/>
      <c r="D56" s="324" t="s">
        <v>283</v>
      </c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6"/>
      <c r="V56" s="327"/>
    </row>
    <row r="57" spans="2:22" s="321" customFormat="1" ht="12.75">
      <c r="B57" s="322"/>
      <c r="C57" s="323"/>
      <c r="D57" s="324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6"/>
      <c r="V57" s="327"/>
    </row>
    <row r="58" spans="2:22" s="321" customFormat="1" ht="12.75">
      <c r="B58" s="322"/>
      <c r="C58" s="323"/>
      <c r="D58" s="324" t="s">
        <v>284</v>
      </c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6"/>
      <c r="V58" s="327"/>
    </row>
    <row r="59" spans="2:22" s="321" customFormat="1" ht="12.75">
      <c r="B59" s="322"/>
      <c r="C59" s="323"/>
      <c r="D59" s="324" t="s">
        <v>285</v>
      </c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6"/>
      <c r="V59" s="327"/>
    </row>
    <row r="60" spans="2:22" s="321" customFormat="1" ht="12.75">
      <c r="B60" s="322"/>
      <c r="C60" s="323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6"/>
      <c r="V60" s="327"/>
    </row>
    <row r="61" spans="2:22" ht="12.75">
      <c r="B61" s="254"/>
      <c r="C61" s="259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260"/>
      <c r="U61" s="262"/>
      <c r="V61" s="258"/>
    </row>
    <row r="62" spans="2:22" ht="12.75">
      <c r="B62" s="254"/>
      <c r="C62" s="259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260"/>
      <c r="U62" s="262"/>
      <c r="V62" s="258"/>
    </row>
    <row r="63" spans="2:22" ht="12.75">
      <c r="B63" s="254"/>
      <c r="C63" s="259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260"/>
      <c r="U63" s="262"/>
      <c r="V63" s="258"/>
    </row>
    <row r="64" spans="2:22" ht="12.75">
      <c r="B64" s="254"/>
      <c r="C64" s="259"/>
      <c r="D64" s="260"/>
      <c r="E64" s="260"/>
      <c r="F64" s="260"/>
      <c r="G64" s="260"/>
      <c r="H64" s="260"/>
      <c r="I64" s="260"/>
      <c r="J64" s="461" t="s">
        <v>286</v>
      </c>
      <c r="K64" s="461"/>
      <c r="L64" s="461"/>
      <c r="M64" s="461"/>
      <c r="N64" s="461"/>
      <c r="O64" s="461"/>
      <c r="P64" s="265"/>
      <c r="Q64" s="260"/>
      <c r="R64" s="260"/>
      <c r="S64" s="260"/>
      <c r="T64" s="260"/>
      <c r="U64" s="262"/>
      <c r="V64" s="258"/>
    </row>
    <row r="65" spans="2:22" ht="12.75">
      <c r="B65" s="254"/>
      <c r="C65" s="259"/>
      <c r="D65" s="260"/>
      <c r="E65" s="260"/>
      <c r="F65" s="260"/>
      <c r="G65" s="260"/>
      <c r="H65" s="260"/>
      <c r="I65" s="260"/>
      <c r="J65" s="462" t="s">
        <v>287</v>
      </c>
      <c r="K65" s="462"/>
      <c r="L65" s="462"/>
      <c r="M65" s="462"/>
      <c r="N65" s="462"/>
      <c r="O65" s="462"/>
      <c r="P65" s="331"/>
      <c r="Q65" s="260"/>
      <c r="R65" s="260"/>
      <c r="S65" s="260"/>
      <c r="T65" s="260"/>
      <c r="U65" s="262"/>
      <c r="V65" s="258"/>
    </row>
    <row r="66" spans="2:22" ht="12.75">
      <c r="B66" s="254"/>
      <c r="C66" s="259"/>
      <c r="D66" s="260"/>
      <c r="E66" s="260"/>
      <c r="F66" s="260"/>
      <c r="G66" s="260"/>
      <c r="H66" s="260"/>
      <c r="I66" s="260"/>
      <c r="J66" s="461" t="s">
        <v>100</v>
      </c>
      <c r="K66" s="461"/>
      <c r="L66" s="461"/>
      <c r="M66" s="265"/>
      <c r="N66" s="265"/>
      <c r="O66" s="265"/>
      <c r="P66" s="265"/>
      <c r="Q66" s="260"/>
      <c r="R66" s="260"/>
      <c r="S66" s="260"/>
      <c r="T66" s="260"/>
      <c r="U66" s="262"/>
      <c r="V66" s="258"/>
    </row>
    <row r="67" spans="2:22" ht="12.75">
      <c r="B67" s="254"/>
      <c r="C67" s="259"/>
      <c r="D67" s="260"/>
      <c r="E67" s="260"/>
      <c r="F67" s="260"/>
      <c r="G67" s="260"/>
      <c r="H67" s="260"/>
      <c r="I67" s="260"/>
      <c r="J67" s="461" t="s">
        <v>288</v>
      </c>
      <c r="K67" s="461"/>
      <c r="L67" s="461"/>
      <c r="M67" s="260"/>
      <c r="N67" s="260"/>
      <c r="O67" s="260"/>
      <c r="P67" s="260"/>
      <c r="Q67" s="260"/>
      <c r="R67" s="260"/>
      <c r="S67" s="260"/>
      <c r="T67" s="260"/>
      <c r="U67" s="262"/>
      <c r="V67" s="258"/>
    </row>
    <row r="68" spans="2:22" ht="12.75">
      <c r="B68" s="254"/>
      <c r="C68" s="259"/>
      <c r="D68" s="260"/>
      <c r="E68" s="260"/>
      <c r="F68" s="260"/>
      <c r="G68" s="260"/>
      <c r="H68" s="260"/>
      <c r="I68" s="260"/>
      <c r="J68" s="461" t="s">
        <v>289</v>
      </c>
      <c r="K68" s="461"/>
      <c r="L68" s="461"/>
      <c r="M68" s="260"/>
      <c r="N68" s="260"/>
      <c r="O68" s="260"/>
      <c r="P68" s="260"/>
      <c r="Q68" s="260"/>
      <c r="R68" s="260"/>
      <c r="S68" s="260"/>
      <c r="T68" s="260"/>
      <c r="U68" s="262"/>
      <c r="V68" s="258"/>
    </row>
    <row r="69" spans="2:22" ht="12.75">
      <c r="B69" s="254"/>
      <c r="C69" s="259"/>
      <c r="D69" s="260"/>
      <c r="E69" s="260"/>
      <c r="F69" s="260"/>
      <c r="G69" s="260"/>
      <c r="H69" s="260"/>
      <c r="I69" s="260"/>
      <c r="J69" s="329"/>
      <c r="K69" s="329"/>
      <c r="L69" s="329"/>
      <c r="M69" s="260"/>
      <c r="N69" s="260"/>
      <c r="O69" s="260"/>
      <c r="P69" s="260"/>
      <c r="Q69" s="260"/>
      <c r="R69" s="260"/>
      <c r="S69" s="260"/>
      <c r="T69" s="260"/>
      <c r="U69" s="262"/>
      <c r="V69" s="258"/>
    </row>
    <row r="70" spans="2:22" ht="12.75">
      <c r="B70" s="254"/>
      <c r="C70" s="259"/>
      <c r="D70" s="260"/>
      <c r="E70" s="260"/>
      <c r="F70" s="260"/>
      <c r="G70" s="260"/>
      <c r="H70" s="260"/>
      <c r="I70" s="260"/>
      <c r="J70" s="329"/>
      <c r="K70" s="329"/>
      <c r="L70" s="329"/>
      <c r="M70" s="260"/>
      <c r="N70" s="260"/>
      <c r="O70" s="260"/>
      <c r="P70" s="260"/>
      <c r="Q70" s="260"/>
      <c r="R70" s="260"/>
      <c r="S70" s="260"/>
      <c r="T70" s="260"/>
      <c r="U70" s="262"/>
      <c r="V70" s="258"/>
    </row>
    <row r="71" spans="2:22" ht="12.75">
      <c r="B71" s="254"/>
      <c r="C71" s="259"/>
      <c r="D71" s="260"/>
      <c r="E71" s="260"/>
      <c r="F71" s="260"/>
      <c r="G71" s="260"/>
      <c r="H71" s="260"/>
      <c r="I71" s="260"/>
      <c r="J71" s="329"/>
      <c r="K71" s="329"/>
      <c r="L71" s="329"/>
      <c r="M71" s="260"/>
      <c r="N71" s="260"/>
      <c r="O71" s="260"/>
      <c r="P71" s="260"/>
      <c r="Q71" s="260"/>
      <c r="R71" s="260"/>
      <c r="S71" s="260"/>
      <c r="T71" s="260"/>
      <c r="U71" s="262"/>
      <c r="V71" s="258"/>
    </row>
    <row r="72" spans="2:22" ht="12.75">
      <c r="B72" s="254"/>
      <c r="C72" s="259"/>
      <c r="D72" s="260"/>
      <c r="E72" s="260"/>
      <c r="F72" s="260"/>
      <c r="G72" s="260"/>
      <c r="H72" s="329"/>
      <c r="I72" s="329"/>
      <c r="J72" s="329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2"/>
      <c r="V72" s="258"/>
    </row>
    <row r="73" spans="2:22" ht="12.75">
      <c r="B73" s="254"/>
      <c r="C73" s="259"/>
      <c r="D73" s="260"/>
      <c r="E73" s="260"/>
      <c r="F73" s="260"/>
      <c r="G73" s="329"/>
      <c r="H73" s="329"/>
      <c r="I73" s="329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2"/>
      <c r="V73" s="258"/>
    </row>
    <row r="74" spans="2:22" ht="12.75">
      <c r="B74" s="254"/>
      <c r="C74" s="259"/>
      <c r="D74" s="260"/>
      <c r="E74" s="260"/>
      <c r="F74" s="260"/>
      <c r="G74" s="329"/>
      <c r="H74" s="329"/>
      <c r="I74" s="329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2"/>
      <c r="V74" s="258"/>
    </row>
    <row r="75" spans="2:22" ht="12.75">
      <c r="B75" s="254"/>
      <c r="C75" s="332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4"/>
      <c r="V75" s="258"/>
    </row>
    <row r="76" spans="2:22" ht="7.5" customHeight="1">
      <c r="B76" s="335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336"/>
      <c r="R76" s="336"/>
      <c r="S76" s="336"/>
      <c r="T76" s="336"/>
      <c r="U76" s="336"/>
      <c r="V76" s="337"/>
    </row>
    <row r="77" spans="3:19" ht="12.75"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</row>
  </sheetData>
  <mergeCells count="93">
    <mergeCell ref="J68:L68"/>
    <mergeCell ref="J64:O64"/>
    <mergeCell ref="J65:O65"/>
    <mergeCell ref="J66:L66"/>
    <mergeCell ref="J67:L67"/>
    <mergeCell ref="D48:H48"/>
    <mergeCell ref="I48:K48"/>
    <mergeCell ref="L48:N49"/>
    <mergeCell ref="O48:T49"/>
    <mergeCell ref="D49:H49"/>
    <mergeCell ref="I49:K49"/>
    <mergeCell ref="Q46:R46"/>
    <mergeCell ref="S46:T46"/>
    <mergeCell ref="D47:H47"/>
    <mergeCell ref="I47:K47"/>
    <mergeCell ref="L47:N47"/>
    <mergeCell ref="O47:P47"/>
    <mergeCell ref="Q47:R47"/>
    <mergeCell ref="S47:T47"/>
    <mergeCell ref="D46:H46"/>
    <mergeCell ref="I46:K46"/>
    <mergeCell ref="L46:N46"/>
    <mergeCell ref="O46:P46"/>
    <mergeCell ref="Q44:R44"/>
    <mergeCell ref="S44:T44"/>
    <mergeCell ref="D45:H45"/>
    <mergeCell ref="I45:K45"/>
    <mergeCell ref="L45:M45"/>
    <mergeCell ref="N45:P45"/>
    <mergeCell ref="Q45:R45"/>
    <mergeCell ref="S45:T45"/>
    <mergeCell ref="D44:H44"/>
    <mergeCell ref="I44:K44"/>
    <mergeCell ref="L44:M44"/>
    <mergeCell ref="N44:P44"/>
    <mergeCell ref="Q42:R42"/>
    <mergeCell ref="S42:T42"/>
    <mergeCell ref="D43:H43"/>
    <mergeCell ref="I43:K43"/>
    <mergeCell ref="L43:M43"/>
    <mergeCell ref="N43:P43"/>
    <mergeCell ref="Q43:R43"/>
    <mergeCell ref="S43:T43"/>
    <mergeCell ref="D42:H42"/>
    <mergeCell ref="I42:K42"/>
    <mergeCell ref="L42:M42"/>
    <mergeCell ref="N42:P42"/>
    <mergeCell ref="Q40:R40"/>
    <mergeCell ref="S40:T40"/>
    <mergeCell ref="D41:H41"/>
    <mergeCell ref="I41:K41"/>
    <mergeCell ref="L41:M41"/>
    <mergeCell ref="N41:P41"/>
    <mergeCell ref="Q41:R41"/>
    <mergeCell ref="S41:T41"/>
    <mergeCell ref="D40:H40"/>
    <mergeCell ref="I40:K40"/>
    <mergeCell ref="L40:M40"/>
    <mergeCell ref="N40:P40"/>
    <mergeCell ref="D38:H38"/>
    <mergeCell ref="I38:T38"/>
    <mergeCell ref="D39:H39"/>
    <mergeCell ref="I39:K39"/>
    <mergeCell ref="L39:M39"/>
    <mergeCell ref="N39:P39"/>
    <mergeCell ref="Q39:R39"/>
    <mergeCell ref="S39:T39"/>
    <mergeCell ref="D36:H36"/>
    <mergeCell ref="I36:T36"/>
    <mergeCell ref="D37:H37"/>
    <mergeCell ref="I37:T37"/>
    <mergeCell ref="D29:K29"/>
    <mergeCell ref="L29:T29"/>
    <mergeCell ref="D35:H35"/>
    <mergeCell ref="I35:T35"/>
    <mergeCell ref="D27:K27"/>
    <mergeCell ref="L27:T27"/>
    <mergeCell ref="D28:K28"/>
    <mergeCell ref="L28:T28"/>
    <mergeCell ref="D25:K25"/>
    <mergeCell ref="L25:T25"/>
    <mergeCell ref="D26:K26"/>
    <mergeCell ref="L26:T26"/>
    <mergeCell ref="I10:L11"/>
    <mergeCell ref="D18:T18"/>
    <mergeCell ref="E19:T19"/>
    <mergeCell ref="D24:K24"/>
    <mergeCell ref="L24:T24"/>
    <mergeCell ref="I6:J7"/>
    <mergeCell ref="P6:Q6"/>
    <mergeCell ref="P7:Q7"/>
    <mergeCell ref="I8:O9"/>
    <mergeCell ref="P8:Q8"/>
  </mergeCells>
  <dataValidations count="1">
    <dataValidation type="list" operator="equal" allowBlank="1" showInputMessage="1" showErrorMessage="1" prompt="Yakıt Cinsini Listeden  Seçiniz" error="Yakıt Cinsini Listeden Seçiniz ?" sqref="S47:T47">
      <formula1>"Katı yakıt,Fuel-oil,Doğalgaz,LPG,Elektrik,Güneş,Termal,Rüzgar"</formula1>
    </dataValidation>
  </dataValidations>
  <printOptions/>
  <pageMargins left="0.5118055555555556" right="0.15763888888888888" top="0.39375" bottom="0.39375" header="0.5118055555555556" footer="0.5118055555555556"/>
  <pageSetup cellComments="atEnd" fitToHeight="1" fitToWidth="1" horizontalDpi="300" verticalDpi="300" orientation="portrait" paperSize="9"/>
  <drawing r:id="rId3"/>
  <legacyDrawing r:id="rId2"/>
  <oleObjects>
    <oleObject progId="opendocument.WriterDocument.1" shapeId="399897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KEYGENTR</cp:lastModifiedBy>
  <dcterms:created xsi:type="dcterms:W3CDTF">2008-11-12T09:49:05Z</dcterms:created>
  <dcterms:modified xsi:type="dcterms:W3CDTF">2008-11-12T09:49:05Z</dcterms:modified>
  <cp:category/>
  <cp:version/>
  <cp:contentType/>
  <cp:contentStatus/>
</cp:coreProperties>
</file>